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240" windowWidth="18630" windowHeight="7080"/>
  </bookViews>
  <sheets>
    <sheet name="15-16" sheetId="11" r:id="rId1"/>
    <sheet name="Detail Month" sheetId="9" r:id="rId2"/>
    <sheet name="3yr comp" sheetId="13" r:id="rId3"/>
    <sheet name="Graph Bud vs Act" sheetId="14" r:id="rId4"/>
    <sheet name="Graph Comparison" sheetId="17" r:id="rId5"/>
    <sheet name="Deflated #'s" sheetId="18" r:id="rId6"/>
    <sheet name="Detail" sheetId="16" r:id="rId7"/>
    <sheet name="sheet 1" sheetId="19" r:id="rId8"/>
  </sheets>
  <definedNames>
    <definedName name="_xlnm.Print_Area" localSheetId="1">'Detail Month'!$A$1:$P$36</definedName>
    <definedName name="_xlnm.Print_Titles" localSheetId="1">'Detail Month'!$A:$A</definedName>
  </definedNames>
  <calcPr calcId="145621"/>
</workbook>
</file>

<file path=xl/calcChain.xml><?xml version="1.0" encoding="utf-8"?>
<calcChain xmlns="http://schemas.openxmlformats.org/spreadsheetml/2006/main">
  <c r="L15" i="18" l="1"/>
  <c r="L16" i="18"/>
  <c r="L17" i="18"/>
  <c r="L18" i="18"/>
  <c r="L19" i="18"/>
  <c r="L20" i="18"/>
  <c r="L21" i="18"/>
  <c r="L22" i="18"/>
  <c r="L23" i="18"/>
  <c r="L24" i="18"/>
  <c r="AB13" i="13" l="1"/>
  <c r="AB14" i="13"/>
  <c r="AB15" i="13"/>
  <c r="AB16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AB30" i="13"/>
  <c r="AB31" i="13"/>
  <c r="AB32" i="13"/>
  <c r="AB33" i="13"/>
  <c r="AB34" i="13"/>
  <c r="AB12" i="13"/>
  <c r="K13" i="9"/>
  <c r="M13" i="9"/>
  <c r="K14" i="9"/>
  <c r="M14" i="9"/>
  <c r="K15" i="9"/>
  <c r="M15" i="9"/>
  <c r="K16" i="9"/>
  <c r="M16" i="9"/>
  <c r="K17" i="9"/>
  <c r="M17" i="9"/>
  <c r="K18" i="9"/>
  <c r="M18" i="9"/>
  <c r="K19" i="9"/>
  <c r="M19" i="9"/>
  <c r="K20" i="9"/>
  <c r="M20" i="9"/>
  <c r="K21" i="9"/>
  <c r="M21" i="9"/>
  <c r="K22" i="9"/>
  <c r="M22" i="9"/>
  <c r="K23" i="9"/>
  <c r="M23" i="9"/>
  <c r="K24" i="9"/>
  <c r="M24" i="9"/>
  <c r="K25" i="9"/>
  <c r="M25" i="9"/>
  <c r="K26" i="9"/>
  <c r="M26" i="9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M12" i="9"/>
  <c r="K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C12" i="9"/>
  <c r="B12" i="9"/>
  <c r="V63" i="9"/>
  <c r="V65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43" i="9"/>
  <c r="V64" i="9"/>
  <c r="U63" i="9"/>
  <c r="U66" i="9"/>
  <c r="U68" i="9" s="1"/>
  <c r="U70" i="9" s="1"/>
  <c r="U48" i="9"/>
  <c r="Y156" i="11"/>
  <c r="X156" i="11"/>
  <c r="U153" i="11"/>
  <c r="R153" i="11"/>
  <c r="Q153" i="11"/>
  <c r="X75" i="11"/>
  <c r="P72" i="11"/>
  <c r="Y19" i="11"/>
  <c r="X19" i="11"/>
  <c r="U72" i="11"/>
  <c r="T19" i="11"/>
  <c r="V66" i="9" l="1"/>
  <c r="K15" i="18"/>
  <c r="K16" i="18"/>
  <c r="K17" i="18"/>
  <c r="K18" i="18"/>
  <c r="K19" i="18"/>
  <c r="K20" i="18"/>
  <c r="K21" i="18"/>
  <c r="K22" i="18"/>
  <c r="K23" i="18"/>
  <c r="K24" i="18"/>
  <c r="K27" i="18" s="1"/>
  <c r="J24" i="18"/>
  <c r="DB3" i="19" s="1"/>
  <c r="D29" i="16"/>
  <c r="C13" i="16"/>
  <c r="U100" i="11"/>
  <c r="V19" i="11"/>
  <c r="U19" i="11"/>
  <c r="V100" i="11"/>
  <c r="X100" i="11"/>
  <c r="Y100" i="11"/>
  <c r="DA3" i="19" l="1"/>
  <c r="J23" i="18"/>
  <c r="D28" i="16"/>
  <c r="C12" i="16"/>
  <c r="P67" i="11"/>
  <c r="T63" i="9" l="1"/>
  <c r="T64" i="9"/>
  <c r="T65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43" i="9"/>
  <c r="S63" i="9"/>
  <c r="S66" i="9" s="1"/>
  <c r="S68" i="9" s="1"/>
  <c r="S70" i="9" s="1"/>
  <c r="S64" i="9"/>
  <c r="S48" i="9"/>
  <c r="Y151" i="11"/>
  <c r="X151" i="11"/>
  <c r="Y70" i="11"/>
  <c r="X70" i="11"/>
  <c r="U148" i="11"/>
  <c r="U143" i="11"/>
  <c r="U67" i="11"/>
  <c r="Q148" i="11"/>
  <c r="R148" i="11" s="1"/>
  <c r="T66" i="9" l="1"/>
  <c r="Y18" i="11"/>
  <c r="X18" i="11"/>
  <c r="V18" i="11"/>
  <c r="U18" i="11"/>
  <c r="T18" i="11"/>
  <c r="U99" i="11"/>
  <c r="U98" i="11"/>
  <c r="V99" i="11"/>
  <c r="X99" i="11"/>
  <c r="Y99" i="11"/>
  <c r="CZ3" i="19" l="1"/>
  <c r="J22" i="18"/>
  <c r="D27" i="16"/>
  <c r="C11" i="16"/>
  <c r="R63" i="9" l="1"/>
  <c r="R64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65" i="9"/>
  <c r="Q63" i="9"/>
  <c r="Q66" i="9" s="1"/>
  <c r="Q68" i="9" s="1"/>
  <c r="Q70" i="9" s="1"/>
  <c r="Q48" i="9"/>
  <c r="Y146" i="11"/>
  <c r="X146" i="11"/>
  <c r="Q143" i="11"/>
  <c r="R143" i="11" s="1"/>
  <c r="X65" i="11"/>
  <c r="Y65" i="11"/>
  <c r="U62" i="11"/>
  <c r="U97" i="11"/>
  <c r="U96" i="11"/>
  <c r="R66" i="9" l="1"/>
  <c r="Y17" i="11"/>
  <c r="X17" i="11"/>
  <c r="V17" i="11"/>
  <c r="U17" i="11"/>
  <c r="T17" i="11"/>
  <c r="Y98" i="11"/>
  <c r="X98" i="11"/>
  <c r="V98" i="11"/>
  <c r="P63" i="9" l="1"/>
  <c r="O63" i="9"/>
  <c r="O66" i="9"/>
  <c r="P65" i="9" s="1"/>
  <c r="P64" i="9"/>
  <c r="O64" i="9"/>
  <c r="O48" i="9"/>
  <c r="CY3" i="19"/>
  <c r="J21" i="18"/>
  <c r="D26" i="16"/>
  <c r="C10" i="16"/>
  <c r="Y141" i="11"/>
  <c r="Y140" i="11"/>
  <c r="Y139" i="11"/>
  <c r="X141" i="11"/>
  <c r="X139" i="11"/>
  <c r="X138" i="11"/>
  <c r="R138" i="11"/>
  <c r="Q138" i="11"/>
  <c r="U138" i="11"/>
  <c r="X140" i="11" s="1"/>
  <c r="Y60" i="11"/>
  <c r="Y59" i="11"/>
  <c r="Y58" i="11"/>
  <c r="X60" i="11"/>
  <c r="V52" i="11"/>
  <c r="U57" i="11"/>
  <c r="X59" i="11" s="1"/>
  <c r="Y16" i="11"/>
  <c r="X16" i="11"/>
  <c r="V16" i="11"/>
  <c r="U16" i="11"/>
  <c r="T16" i="11"/>
  <c r="V97" i="11"/>
  <c r="X97" i="11"/>
  <c r="Y97" i="11"/>
  <c r="O68" i="9" l="1"/>
  <c r="O70" i="9" s="1"/>
  <c r="P43" i="9"/>
  <c r="P62" i="9"/>
  <c r="P60" i="9"/>
  <c r="P58" i="9"/>
  <c r="P56" i="9"/>
  <c r="P54" i="9"/>
  <c r="P52" i="9"/>
  <c r="P50" i="9"/>
  <c r="P48" i="9"/>
  <c r="P46" i="9"/>
  <c r="P44" i="9"/>
  <c r="P61" i="9"/>
  <c r="P59" i="9"/>
  <c r="P57" i="9"/>
  <c r="P55" i="9"/>
  <c r="P53" i="9"/>
  <c r="P51" i="9"/>
  <c r="P49" i="9"/>
  <c r="P47" i="9"/>
  <c r="P45" i="9"/>
  <c r="J20" i="18"/>
  <c r="CX3" i="19" s="1"/>
  <c r="D25" i="16"/>
  <c r="C9" i="16"/>
  <c r="N63" i="9"/>
  <c r="N66" i="9"/>
  <c r="N65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M63" i="9"/>
  <c r="M66" i="9" s="1"/>
  <c r="M64" i="9"/>
  <c r="X55" i="11"/>
  <c r="Y136" i="11"/>
  <c r="X136" i="11"/>
  <c r="R133" i="11"/>
  <c r="Q133" i="11"/>
  <c r="U133" i="11"/>
  <c r="Y55" i="11"/>
  <c r="U52" i="11"/>
  <c r="X54" i="11" s="1"/>
  <c r="Y15" i="11"/>
  <c r="X15" i="11"/>
  <c r="V15" i="11"/>
  <c r="U15" i="11"/>
  <c r="T15" i="11"/>
  <c r="V96" i="11"/>
  <c r="X96" i="11"/>
  <c r="Y96" i="11"/>
  <c r="P66" i="9" l="1"/>
  <c r="N43" i="9"/>
  <c r="M68" i="9"/>
  <c r="M70" i="9" s="1"/>
  <c r="J19" i="18"/>
  <c r="CW3" i="19" s="1"/>
  <c r="D24" i="16"/>
  <c r="C8" i="16"/>
  <c r="L65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43" i="9"/>
  <c r="K63" i="9"/>
  <c r="K66" i="9" s="1"/>
  <c r="K68" i="9" s="1"/>
  <c r="K70" i="9" s="1"/>
  <c r="L66" i="9" l="1"/>
  <c r="K48" i="9"/>
  <c r="X132" i="11" l="1"/>
  <c r="Y132" i="11"/>
  <c r="X129" i="11"/>
  <c r="U129" i="11"/>
  <c r="R129" i="11"/>
  <c r="Q129" i="11"/>
  <c r="X50" i="11"/>
  <c r="Y50" i="11"/>
  <c r="Y14" i="11"/>
  <c r="X14" i="11"/>
  <c r="U47" i="11"/>
  <c r="T14" i="11"/>
  <c r="V14" i="11" s="1"/>
  <c r="U95" i="11"/>
  <c r="V95" i="11"/>
  <c r="X95" i="11"/>
  <c r="Y95" i="11"/>
  <c r="U14" i="11" l="1"/>
  <c r="J18" i="18"/>
  <c r="CV3" i="19" s="1"/>
  <c r="J63" i="9"/>
  <c r="J65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64" i="9"/>
  <c r="I64" i="9"/>
  <c r="I63" i="9"/>
  <c r="I66" i="9"/>
  <c r="I48" i="9"/>
  <c r="D23" i="16"/>
  <c r="C7" i="16"/>
  <c r="R23" i="11"/>
  <c r="P23" i="11"/>
  <c r="X127" i="11"/>
  <c r="Y127" i="11"/>
  <c r="Y94" i="11"/>
  <c r="X94" i="11"/>
  <c r="X124" i="11"/>
  <c r="X125" i="11" s="1"/>
  <c r="U124" i="11"/>
  <c r="X126" i="11" s="1"/>
  <c r="Y45" i="11"/>
  <c r="X45" i="11"/>
  <c r="Y13" i="11"/>
  <c r="X13" i="11"/>
  <c r="Y42" i="11"/>
  <c r="X42" i="11"/>
  <c r="X43" i="11" s="1"/>
  <c r="U42" i="11"/>
  <c r="V13" i="11"/>
  <c r="U13" i="11"/>
  <c r="T13" i="11"/>
  <c r="V94" i="11"/>
  <c r="U94" i="11"/>
  <c r="I68" i="9" l="1"/>
  <c r="I70" i="9" s="1"/>
  <c r="J66" i="9" l="1"/>
  <c r="X17" i="13"/>
  <c r="H63" i="9"/>
  <c r="H65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43" i="9"/>
  <c r="H64" i="9"/>
  <c r="G63" i="9"/>
  <c r="G66" i="9" s="1"/>
  <c r="G68" i="9" s="1"/>
  <c r="G70" i="9" s="1"/>
  <c r="G64" i="9"/>
  <c r="G48" i="9"/>
  <c r="H66" i="9" l="1"/>
  <c r="J17" i="18"/>
  <c r="CU3" i="19" s="1"/>
  <c r="D22" i="16"/>
  <c r="C6" i="16"/>
  <c r="Y122" i="11"/>
  <c r="X122" i="11"/>
  <c r="U118" i="11"/>
  <c r="Y40" i="11"/>
  <c r="X40" i="11"/>
  <c r="Y39" i="11"/>
  <c r="U36" i="11"/>
  <c r="X44" i="11" s="1"/>
  <c r="Y12" i="11"/>
  <c r="X12" i="11"/>
  <c r="V12" i="11"/>
  <c r="U12" i="11"/>
  <c r="T12" i="11"/>
  <c r="Y93" i="11"/>
  <c r="X93" i="11"/>
  <c r="U93" i="11"/>
  <c r="V93" i="11"/>
  <c r="CT3" i="19" l="1"/>
  <c r="J16" i="18"/>
  <c r="D21" i="16"/>
  <c r="C5" i="16"/>
  <c r="F64" i="9"/>
  <c r="E63" i="9"/>
  <c r="E66" i="9"/>
  <c r="F63" i="9" s="1"/>
  <c r="E48" i="9"/>
  <c r="F65" i="9" l="1"/>
  <c r="F62" i="9"/>
  <c r="F60" i="9"/>
  <c r="F58" i="9"/>
  <c r="F56" i="9"/>
  <c r="F54" i="9"/>
  <c r="F52" i="9"/>
  <c r="F50" i="9"/>
  <c r="F48" i="9"/>
  <c r="F46" i="9"/>
  <c r="F44" i="9"/>
  <c r="F43" i="9"/>
  <c r="F61" i="9"/>
  <c r="F59" i="9"/>
  <c r="F57" i="9"/>
  <c r="F55" i="9"/>
  <c r="F53" i="9"/>
  <c r="F51" i="9"/>
  <c r="F49" i="9"/>
  <c r="F47" i="9"/>
  <c r="F45" i="9"/>
  <c r="E68" i="9"/>
  <c r="Y35" i="11"/>
  <c r="Y31" i="11"/>
  <c r="W31" i="11"/>
  <c r="V31" i="11"/>
  <c r="Q31" i="11"/>
  <c r="U31" i="11" s="1"/>
  <c r="T31" i="11"/>
  <c r="U112" i="11"/>
  <c r="Y11" i="11"/>
  <c r="X11" i="11"/>
  <c r="V11" i="11"/>
  <c r="U11" i="11"/>
  <c r="T11" i="11"/>
  <c r="Y92" i="11"/>
  <c r="X92" i="11"/>
  <c r="V92" i="11"/>
  <c r="U92" i="11"/>
  <c r="E70" i="9" l="1"/>
  <c r="F66" i="9"/>
  <c r="J15" i="18"/>
  <c r="CS3" i="19" s="1"/>
  <c r="D20" i="16"/>
  <c r="C21" i="16"/>
  <c r="C22" i="16"/>
  <c r="C23" i="16"/>
  <c r="C24" i="16"/>
  <c r="C25" i="16"/>
  <c r="C26" i="16"/>
  <c r="C27" i="16"/>
  <c r="C28" i="16"/>
  <c r="C29" i="16"/>
  <c r="C30" i="16"/>
  <c r="C31" i="16"/>
  <c r="C20" i="16"/>
  <c r="B21" i="16"/>
  <c r="B22" i="16"/>
  <c r="B23" i="16"/>
  <c r="B24" i="16"/>
  <c r="B25" i="16"/>
  <c r="B26" i="16"/>
  <c r="B27" i="16"/>
  <c r="B28" i="16"/>
  <c r="B29" i="16"/>
  <c r="B30" i="16"/>
  <c r="B31" i="16"/>
  <c r="B20" i="16"/>
  <c r="C4" i="16"/>
  <c r="B5" i="16"/>
  <c r="B6" i="16"/>
  <c r="B7" i="16"/>
  <c r="B8" i="16"/>
  <c r="B9" i="16"/>
  <c r="B10" i="16"/>
  <c r="B11" i="16"/>
  <c r="B12" i="16"/>
  <c r="B13" i="16"/>
  <c r="B14" i="16"/>
  <c r="B15" i="16"/>
  <c r="B4" i="16"/>
  <c r="D63" i="9"/>
  <c r="D66" i="9" s="1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4" i="9"/>
  <c r="D65" i="9"/>
  <c r="D43" i="9"/>
  <c r="C63" i="9"/>
  <c r="C64" i="9"/>
  <c r="C66" i="9"/>
  <c r="C68" i="9" s="1"/>
  <c r="C70" i="9" s="1"/>
  <c r="C48" i="9" l="1"/>
  <c r="W23" i="11"/>
  <c r="T10" i="11"/>
  <c r="V91" i="11"/>
  <c r="U91" i="11"/>
  <c r="J27" i="18" l="1"/>
  <c r="C2" i="18"/>
  <c r="W163" i="11" l="1"/>
  <c r="T163" i="11"/>
  <c r="W158" i="11"/>
  <c r="T158" i="11"/>
  <c r="W153" i="11"/>
  <c r="T153" i="11"/>
  <c r="W148" i="11"/>
  <c r="T148" i="11"/>
  <c r="W143" i="11"/>
  <c r="T143" i="11"/>
  <c r="W138" i="11"/>
  <c r="T138" i="11"/>
  <c r="W133" i="11"/>
  <c r="T133" i="11"/>
  <c r="W129" i="11"/>
  <c r="T129" i="11"/>
  <c r="W124" i="11"/>
  <c r="T124" i="11"/>
  <c r="W118" i="11"/>
  <c r="T118" i="11"/>
  <c r="W112" i="11"/>
  <c r="T112" i="11"/>
  <c r="W107" i="11"/>
  <c r="T107" i="11"/>
  <c r="W104" i="11"/>
  <c r="T104" i="11"/>
  <c r="Y91" i="11"/>
  <c r="X91" i="11"/>
  <c r="X107" i="11" s="1"/>
  <c r="V163" i="11"/>
  <c r="W81" i="11"/>
  <c r="W76" i="11"/>
  <c r="W72" i="11"/>
  <c r="W67" i="11"/>
  <c r="W62" i="11"/>
  <c r="W57" i="11"/>
  <c r="W52" i="11"/>
  <c r="W47" i="11"/>
  <c r="W42" i="11"/>
  <c r="W36" i="11"/>
  <c r="W26" i="11"/>
  <c r="T62" i="11"/>
  <c r="Y107" i="11" l="1"/>
  <c r="Y163" i="11"/>
  <c r="Y164" i="11" s="1"/>
  <c r="X134" i="11"/>
  <c r="U163" i="11"/>
  <c r="X165" i="11" s="1"/>
  <c r="X130" i="11"/>
  <c r="Y10" i="11"/>
  <c r="T23" i="11"/>
  <c r="T26" i="11"/>
  <c r="T36" i="11"/>
  <c r="T42" i="11"/>
  <c r="T47" i="11"/>
  <c r="T52" i="11"/>
  <c r="T57" i="11"/>
  <c r="T81" i="11"/>
  <c r="T76" i="11"/>
  <c r="T72" i="11"/>
  <c r="T67" i="11"/>
  <c r="X10" i="11"/>
  <c r="V104" i="11"/>
  <c r="U104" i="11" s="1"/>
  <c r="V112" i="11"/>
  <c r="Y115" i="11" s="1"/>
  <c r="X112" i="11"/>
  <c r="X114" i="11" s="1"/>
  <c r="V118" i="11"/>
  <c r="Y121" i="11" s="1"/>
  <c r="X118" i="11"/>
  <c r="X120" i="11" s="1"/>
  <c r="V124" i="11"/>
  <c r="Y126" i="11" s="1"/>
  <c r="V129" i="11"/>
  <c r="Y131" i="11" s="1"/>
  <c r="V133" i="11"/>
  <c r="Y135" i="11" s="1"/>
  <c r="X133" i="11"/>
  <c r="V138" i="11"/>
  <c r="V143" i="11"/>
  <c r="Y145" i="11" s="1"/>
  <c r="V148" i="11"/>
  <c r="Y150" i="11" s="1"/>
  <c r="V153" i="11"/>
  <c r="Y155" i="11" s="1"/>
  <c r="X153" i="11"/>
  <c r="X154" i="11" s="1"/>
  <c r="V158" i="11"/>
  <c r="Y160" i="11" s="1"/>
  <c r="X158" i="11"/>
  <c r="X159" i="11" s="1"/>
  <c r="X163" i="11"/>
  <c r="X164" i="11" s="1"/>
  <c r="Y104" i="11"/>
  <c r="Y112" i="11"/>
  <c r="Y114" i="11" s="1"/>
  <c r="Y118" i="11"/>
  <c r="Y120" i="11" s="1"/>
  <c r="Y124" i="11"/>
  <c r="Y125" i="11" s="1"/>
  <c r="Y129" i="11"/>
  <c r="Y130" i="11" s="1"/>
  <c r="Y133" i="11"/>
  <c r="Y134" i="11" s="1"/>
  <c r="Y138" i="11"/>
  <c r="Y143" i="11"/>
  <c r="Y148" i="11"/>
  <c r="Y153" i="11"/>
  <c r="Y154" i="11" s="1"/>
  <c r="Y158" i="11"/>
  <c r="Y159" i="11" s="1"/>
  <c r="X26" i="11" l="1"/>
  <c r="X27" i="11" s="1"/>
  <c r="Y144" i="11"/>
  <c r="X143" i="11"/>
  <c r="X144" i="11" s="1"/>
  <c r="Y149" i="11"/>
  <c r="X148" i="11"/>
  <c r="X149" i="11" s="1"/>
  <c r="Y108" i="11"/>
  <c r="X108" i="11"/>
  <c r="X81" i="11"/>
  <c r="X36" i="11"/>
  <c r="X38" i="11" s="1"/>
  <c r="Y81" i="11"/>
  <c r="Y76" i="11"/>
  <c r="Y72" i="11"/>
  <c r="Y67" i="11"/>
  <c r="Y62" i="11"/>
  <c r="Y57" i="11"/>
  <c r="Y52" i="11"/>
  <c r="Y47" i="11"/>
  <c r="Y43" i="11"/>
  <c r="Y36" i="11"/>
  <c r="Y38" i="11" s="1"/>
  <c r="Y33" i="11"/>
  <c r="Y27" i="11"/>
  <c r="Y26" i="11"/>
  <c r="Y23" i="11"/>
  <c r="X31" i="11"/>
  <c r="X33" i="11" s="1"/>
  <c r="Z99" i="9"/>
  <c r="Y99" i="9"/>
  <c r="Y100" i="9"/>
  <c r="Y84" i="9"/>
  <c r="Q21" i="11"/>
  <c r="R102" i="11"/>
  <c r="I26" i="18" l="1"/>
  <c r="CR3" i="19" s="1"/>
  <c r="Y48" i="11"/>
  <c r="X48" i="11"/>
  <c r="X47" i="11"/>
  <c r="X58" i="11"/>
  <c r="X57" i="11"/>
  <c r="Y68" i="11"/>
  <c r="X67" i="11"/>
  <c r="X68" i="11" s="1"/>
  <c r="Y77" i="11"/>
  <c r="X76" i="11"/>
  <c r="X77" i="11" s="1"/>
  <c r="Y53" i="11"/>
  <c r="X53" i="11"/>
  <c r="X52" i="11"/>
  <c r="Y63" i="11"/>
  <c r="X62" i="11"/>
  <c r="X63" i="11" s="1"/>
  <c r="Y73" i="11"/>
  <c r="X72" i="11"/>
  <c r="X73" i="11" s="1"/>
  <c r="Y82" i="11"/>
  <c r="X82" i="11"/>
  <c r="X12" i="13" l="1"/>
  <c r="W99" i="9"/>
  <c r="W100" i="9"/>
  <c r="W84" i="9"/>
  <c r="U158" i="11"/>
  <c r="X160" i="11" s="1"/>
  <c r="X155" i="11"/>
  <c r="U76" i="11"/>
  <c r="X78" i="11" s="1"/>
  <c r="X74" i="11"/>
  <c r="Q20" i="11"/>
  <c r="R101" i="11"/>
  <c r="I25" i="18" l="1"/>
  <c r="CQ3" i="19" s="1"/>
  <c r="R99" i="9" l="1"/>
  <c r="T99" i="9"/>
  <c r="V99" i="9"/>
  <c r="U99" i="9" l="1"/>
  <c r="U100" i="9"/>
  <c r="Q104" i="11"/>
  <c r="Q19" i="11"/>
  <c r="I24" i="18" l="1"/>
  <c r="CP3" i="19" s="1"/>
  <c r="R100" i="11"/>
  <c r="X69" i="11"/>
  <c r="S100" i="9" l="1"/>
  <c r="Q18" i="11"/>
  <c r="Q17" i="11"/>
  <c r="I23" i="18" l="1"/>
  <c r="I22" i="18"/>
  <c r="CO3" i="19" l="1"/>
  <c r="Z12" i="13"/>
  <c r="X150" i="11"/>
  <c r="X145" i="11"/>
  <c r="X64" i="11"/>
  <c r="R99" i="11"/>
  <c r="S99" i="9"/>
  <c r="S84" i="9"/>
  <c r="R93" i="11" l="1"/>
  <c r="R98" i="11"/>
  <c r="R97" i="11"/>
  <c r="R95" i="11"/>
  <c r="R94" i="11"/>
  <c r="CN3" i="19"/>
  <c r="R136" i="9"/>
  <c r="Q99" i="9"/>
  <c r="Q100" i="9"/>
  <c r="Q84" i="9"/>
  <c r="O99" i="9" l="1"/>
  <c r="P99" i="9" s="1"/>
  <c r="O102" i="9"/>
  <c r="O104" i="9" s="1"/>
  <c r="Q16" i="11"/>
  <c r="I21" i="18" l="1"/>
  <c r="CM3" i="19" s="1"/>
  <c r="F24" i="18" l="1"/>
  <c r="BF3" i="19" s="1"/>
  <c r="E20" i="18"/>
  <c r="AP3" i="19" s="1"/>
  <c r="F16" i="18"/>
  <c r="AX3" i="19" s="1"/>
  <c r="F21" i="18"/>
  <c r="BC3" i="19" s="1"/>
  <c r="F17" i="18"/>
  <c r="AY3" i="19" s="1"/>
  <c r="F20" i="18"/>
  <c r="BB3" i="19" s="1"/>
  <c r="F18" i="18"/>
  <c r="AZ3" i="19" s="1"/>
  <c r="F22" i="18"/>
  <c r="BD3" i="19" s="1"/>
  <c r="F26" i="18"/>
  <c r="BH3" i="19" s="1"/>
  <c r="F15" i="18"/>
  <c r="AW3" i="19" s="1"/>
  <c r="F19" i="18"/>
  <c r="BA3" i="19" s="1"/>
  <c r="F23" i="18"/>
  <c r="BE3" i="19" s="1"/>
  <c r="B25" i="18"/>
  <c r="H17" i="18"/>
  <c r="BW3" i="19" s="1"/>
  <c r="F25" i="18"/>
  <c r="BG3" i="19" s="1"/>
  <c r="W3" i="19" l="1"/>
  <c r="K3" i="19"/>
  <c r="F27" i="18"/>
  <c r="N99" i="9" l="1"/>
  <c r="M99" i="9"/>
  <c r="M100" i="9"/>
  <c r="Q15" i="11"/>
  <c r="I20" i="18" l="1"/>
  <c r="CL3" i="19" s="1"/>
  <c r="R96" i="11"/>
  <c r="L99" i="9" l="1"/>
  <c r="K99" i="9"/>
  <c r="K100" i="9"/>
  <c r="K84" i="9"/>
  <c r="Q14" i="11"/>
  <c r="I99" i="9"/>
  <c r="I100" i="9"/>
  <c r="Q124" i="11"/>
  <c r="Q13" i="11"/>
  <c r="G99" i="9"/>
  <c r="G100" i="9"/>
  <c r="X34" i="11"/>
  <c r="Q118" i="11"/>
  <c r="Q12" i="11"/>
  <c r="E99" i="9"/>
  <c r="E100" i="9"/>
  <c r="E84" i="9"/>
  <c r="I17" i="18" l="1"/>
  <c r="CI3" i="19" s="1"/>
  <c r="R12" i="11"/>
  <c r="I18" i="18"/>
  <c r="CJ3" i="19" s="1"/>
  <c r="I19" i="18"/>
  <c r="CK3" i="19" s="1"/>
  <c r="Q11" i="11"/>
  <c r="I16" i="18" l="1"/>
  <c r="CH3" i="19" s="1"/>
  <c r="Q112" i="11"/>
  <c r="R92" i="11"/>
  <c r="C99" i="9"/>
  <c r="C100" i="9"/>
  <c r="AC100" i="9" s="1"/>
  <c r="AC103" i="9"/>
  <c r="AC101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3" i="9"/>
  <c r="AC82" i="9"/>
  <c r="AC81" i="9"/>
  <c r="AC80" i="9"/>
  <c r="AC79" i="9"/>
  <c r="Q107" i="11"/>
  <c r="R91" i="11"/>
  <c r="Q10" i="11"/>
  <c r="Y136" i="9"/>
  <c r="Y137" i="9"/>
  <c r="O21" i="11"/>
  <c r="P102" i="11"/>
  <c r="W136" i="9"/>
  <c r="W135" i="9"/>
  <c r="W121" i="9"/>
  <c r="O20" i="11"/>
  <c r="U10" i="11" l="1"/>
  <c r="V10" i="11"/>
  <c r="U107" i="11"/>
  <c r="V107" i="11"/>
  <c r="Y109" i="11" s="1"/>
  <c r="R21" i="11"/>
  <c r="H26" i="18"/>
  <c r="CF3" i="19" s="1"/>
  <c r="R20" i="11"/>
  <c r="H25" i="18"/>
  <c r="CE3" i="19" s="1"/>
  <c r="I15" i="18"/>
  <c r="Q81" i="11"/>
  <c r="Q76" i="11"/>
  <c r="Q23" i="11"/>
  <c r="Q72" i="11"/>
  <c r="Q67" i="11"/>
  <c r="Q62" i="11"/>
  <c r="Q57" i="11"/>
  <c r="Q52" i="11"/>
  <c r="Q47" i="11"/>
  <c r="Q42" i="11"/>
  <c r="Q36" i="11"/>
  <c r="Q26" i="11"/>
  <c r="U26" i="11" s="1"/>
  <c r="AC84" i="9"/>
  <c r="AC102" i="9" s="1"/>
  <c r="AC104" i="9" s="1"/>
  <c r="C102" i="9"/>
  <c r="E102" i="9"/>
  <c r="F99" i="9" s="1"/>
  <c r="G102" i="9"/>
  <c r="H99" i="9" s="1"/>
  <c r="I102" i="9"/>
  <c r="K102" i="9"/>
  <c r="M102" i="9"/>
  <c r="Q102" i="9"/>
  <c r="S102" i="9"/>
  <c r="U102" i="9"/>
  <c r="W102" i="9"/>
  <c r="W104" i="9" s="1"/>
  <c r="Y102" i="9"/>
  <c r="W139" i="9"/>
  <c r="P101" i="11"/>
  <c r="U136" i="9"/>
  <c r="U137" i="9"/>
  <c r="O19" i="11"/>
  <c r="P100" i="11"/>
  <c r="S136" i="9"/>
  <c r="S137" i="9"/>
  <c r="O18" i="11"/>
  <c r="P99" i="11"/>
  <c r="Q136" i="9"/>
  <c r="Q137" i="9"/>
  <c r="O17" i="11"/>
  <c r="P98" i="11"/>
  <c r="O136" i="9"/>
  <c r="O137" i="9"/>
  <c r="O16" i="11"/>
  <c r="P97" i="11"/>
  <c r="P96" i="11"/>
  <c r="P95" i="11"/>
  <c r="P94" i="11"/>
  <c r="P93" i="11"/>
  <c r="P92" i="11"/>
  <c r="P91" i="11"/>
  <c r="M136" i="9"/>
  <c r="M137" i="9"/>
  <c r="O15" i="11"/>
  <c r="K136" i="9"/>
  <c r="K137" i="9"/>
  <c r="O14" i="11"/>
  <c r="I136" i="9"/>
  <c r="I137" i="9"/>
  <c r="O13" i="11"/>
  <c r="V76" i="11" l="1"/>
  <c r="Y78" i="11" s="1"/>
  <c r="V57" i="11"/>
  <c r="V36" i="11"/>
  <c r="V81" i="11"/>
  <c r="V72" i="11"/>
  <c r="Y74" i="11" s="1"/>
  <c r="V62" i="11"/>
  <c r="Y64" i="11" s="1"/>
  <c r="Y54" i="11"/>
  <c r="V42" i="11"/>
  <c r="Y44" i="11" s="1"/>
  <c r="Y34" i="11"/>
  <c r="V23" i="11"/>
  <c r="U23" i="11" s="1"/>
  <c r="Y83" i="11"/>
  <c r="V67" i="11"/>
  <c r="Y69" i="11" s="1"/>
  <c r="V47" i="11"/>
  <c r="Y49" i="11" s="1"/>
  <c r="V26" i="11"/>
  <c r="Y28" i="11" s="1"/>
  <c r="H18" i="18"/>
  <c r="BX3" i="19" s="1"/>
  <c r="H19" i="18"/>
  <c r="BY3" i="19" s="1"/>
  <c r="R14" i="11"/>
  <c r="R16" i="11"/>
  <c r="H21" i="18"/>
  <c r="CA3" i="19" s="1"/>
  <c r="R17" i="11"/>
  <c r="H22" i="18"/>
  <c r="CB3" i="19" s="1"/>
  <c r="R19" i="11"/>
  <c r="H24" i="18"/>
  <c r="CD3" i="19" s="1"/>
  <c r="H20" i="18"/>
  <c r="BZ3" i="19" s="1"/>
  <c r="R15" i="11"/>
  <c r="I27" i="18"/>
  <c r="CG3" i="19"/>
  <c r="R18" i="11"/>
  <c r="H23" i="18"/>
  <c r="CC3" i="19" s="1"/>
  <c r="R13" i="11"/>
  <c r="U104" i="9"/>
  <c r="U106" i="9" s="1"/>
  <c r="V100" i="9"/>
  <c r="V96" i="9"/>
  <c r="V92" i="9"/>
  <c r="V88" i="9"/>
  <c r="V84" i="9"/>
  <c r="V80" i="9"/>
  <c r="V101" i="9"/>
  <c r="V95" i="9"/>
  <c r="V90" i="9"/>
  <c r="V85" i="9"/>
  <c r="V79" i="9"/>
  <c r="V94" i="9"/>
  <c r="V87" i="9"/>
  <c r="V81" i="9"/>
  <c r="V91" i="9"/>
  <c r="V93" i="9"/>
  <c r="V86" i="9"/>
  <c r="V97" i="9"/>
  <c r="V89" i="9"/>
  <c r="V82" i="9"/>
  <c r="V98" i="9"/>
  <c r="V83" i="9"/>
  <c r="S104" i="9"/>
  <c r="S106" i="9" s="1"/>
  <c r="T95" i="9"/>
  <c r="T91" i="9"/>
  <c r="T87" i="9"/>
  <c r="T83" i="9"/>
  <c r="T79" i="9"/>
  <c r="T97" i="9"/>
  <c r="T92" i="9"/>
  <c r="T86" i="9"/>
  <c r="T81" i="9"/>
  <c r="T96" i="9"/>
  <c r="T89" i="9"/>
  <c r="T82" i="9"/>
  <c r="O15" i="9" s="1"/>
  <c r="T100" i="9"/>
  <c r="T85" i="9"/>
  <c r="T101" i="9"/>
  <c r="T94" i="9"/>
  <c r="T88" i="9"/>
  <c r="T80" i="9"/>
  <c r="T98" i="9"/>
  <c r="T90" i="9"/>
  <c r="T84" i="9"/>
  <c r="O17" i="9" s="1"/>
  <c r="T93" i="9"/>
  <c r="K104" i="9"/>
  <c r="K106" i="9" s="1"/>
  <c r="L95" i="9"/>
  <c r="L91" i="9"/>
  <c r="L87" i="9"/>
  <c r="L83" i="9"/>
  <c r="L79" i="9"/>
  <c r="L98" i="9"/>
  <c r="L93" i="9"/>
  <c r="L88" i="9"/>
  <c r="L82" i="9"/>
  <c r="L96" i="9"/>
  <c r="L89" i="9"/>
  <c r="L81" i="9"/>
  <c r="L92" i="9"/>
  <c r="L101" i="9"/>
  <c r="L94" i="9"/>
  <c r="L86" i="9"/>
  <c r="L80" i="9"/>
  <c r="L100" i="9"/>
  <c r="L97" i="9"/>
  <c r="L90" i="9"/>
  <c r="L84" i="9"/>
  <c r="L85" i="9"/>
  <c r="C104" i="9"/>
  <c r="C106" i="9" s="1"/>
  <c r="D81" i="9"/>
  <c r="D85" i="9"/>
  <c r="D89" i="9"/>
  <c r="D93" i="9"/>
  <c r="D97" i="9"/>
  <c r="D79" i="9"/>
  <c r="D80" i="9"/>
  <c r="D86" i="9"/>
  <c r="D91" i="9"/>
  <c r="D96" i="9"/>
  <c r="D82" i="9"/>
  <c r="D87" i="9"/>
  <c r="D92" i="9"/>
  <c r="D98" i="9"/>
  <c r="D84" i="9"/>
  <c r="D90" i="9"/>
  <c r="D95" i="9"/>
  <c r="D101" i="9"/>
  <c r="D83" i="9"/>
  <c r="D88" i="9"/>
  <c r="D94" i="9"/>
  <c r="D100" i="9"/>
  <c r="D99" i="9"/>
  <c r="Y104" i="9"/>
  <c r="Y106" i="9" s="1"/>
  <c r="Z100" i="9"/>
  <c r="Z96" i="9"/>
  <c r="Z92" i="9"/>
  <c r="Z88" i="9"/>
  <c r="Z84" i="9"/>
  <c r="Z80" i="9"/>
  <c r="Z98" i="9"/>
  <c r="Z94" i="9"/>
  <c r="Z90" i="9"/>
  <c r="Z86" i="9"/>
  <c r="Z82" i="9"/>
  <c r="Z101" i="9"/>
  <c r="Z93" i="9"/>
  <c r="Z85" i="9"/>
  <c r="Z97" i="9"/>
  <c r="Z87" i="9"/>
  <c r="Z81" i="9"/>
  <c r="Z95" i="9"/>
  <c r="Z83" i="9"/>
  <c r="Z89" i="9"/>
  <c r="Z79" i="9"/>
  <c r="Z91" i="9"/>
  <c r="Q104" i="9"/>
  <c r="Q106" i="9" s="1"/>
  <c r="R98" i="9"/>
  <c r="R94" i="9"/>
  <c r="R90" i="9"/>
  <c r="R86" i="9"/>
  <c r="R82" i="9"/>
  <c r="R93" i="9"/>
  <c r="R88" i="9"/>
  <c r="R83" i="9"/>
  <c r="R97" i="9"/>
  <c r="R91" i="9"/>
  <c r="R84" i="9"/>
  <c r="R95" i="9"/>
  <c r="R80" i="9"/>
  <c r="R96" i="9"/>
  <c r="R89" i="9"/>
  <c r="R81" i="9"/>
  <c r="R100" i="9"/>
  <c r="R92" i="9"/>
  <c r="R85" i="9"/>
  <c r="R79" i="9"/>
  <c r="R101" i="9"/>
  <c r="R87" i="9"/>
  <c r="I104" i="9"/>
  <c r="I106" i="9" s="1"/>
  <c r="J98" i="9"/>
  <c r="J94" i="9"/>
  <c r="J90" i="9"/>
  <c r="J86" i="9"/>
  <c r="J82" i="9"/>
  <c r="J100" i="9"/>
  <c r="J95" i="9"/>
  <c r="J89" i="9"/>
  <c r="J84" i="9"/>
  <c r="J79" i="9"/>
  <c r="J97" i="9"/>
  <c r="J91" i="9"/>
  <c r="J83" i="9"/>
  <c r="J93" i="9"/>
  <c r="J96" i="9"/>
  <c r="J88" i="9"/>
  <c r="J81" i="9"/>
  <c r="J101" i="9"/>
  <c r="J80" i="9"/>
  <c r="J99" i="9"/>
  <c r="J92" i="9"/>
  <c r="J85" i="9"/>
  <c r="J87" i="9"/>
  <c r="W106" i="9"/>
  <c r="X99" i="9"/>
  <c r="X95" i="9"/>
  <c r="X91" i="9"/>
  <c r="X87" i="9"/>
  <c r="X83" i="9"/>
  <c r="X101" i="9"/>
  <c r="X97" i="9"/>
  <c r="X93" i="9"/>
  <c r="X89" i="9"/>
  <c r="X85" i="9"/>
  <c r="X81" i="9"/>
  <c r="X100" i="9"/>
  <c r="X92" i="9"/>
  <c r="X84" i="9"/>
  <c r="X98" i="9"/>
  <c r="X88" i="9"/>
  <c r="X79" i="9"/>
  <c r="X82" i="9"/>
  <c r="X96" i="9"/>
  <c r="X86" i="9"/>
  <c r="X90" i="9"/>
  <c r="X80" i="9"/>
  <c r="X94" i="9"/>
  <c r="O106" i="9"/>
  <c r="P101" i="9"/>
  <c r="P97" i="9"/>
  <c r="P93" i="9"/>
  <c r="P89" i="9"/>
  <c r="P85" i="9"/>
  <c r="P81" i="9"/>
  <c r="P100" i="9"/>
  <c r="P95" i="9"/>
  <c r="P90" i="9"/>
  <c r="P84" i="9"/>
  <c r="P79" i="9"/>
  <c r="P92" i="9"/>
  <c r="P86" i="9"/>
  <c r="P82" i="9"/>
  <c r="P98" i="9"/>
  <c r="P91" i="9"/>
  <c r="P83" i="9"/>
  <c r="P88" i="9"/>
  <c r="P94" i="9"/>
  <c r="P87" i="9"/>
  <c r="P80" i="9"/>
  <c r="P96" i="9"/>
  <c r="G104" i="9"/>
  <c r="G106" i="9" s="1"/>
  <c r="H101" i="9"/>
  <c r="H97" i="9"/>
  <c r="H93" i="9"/>
  <c r="H89" i="9"/>
  <c r="H85" i="9"/>
  <c r="H81" i="9"/>
  <c r="H96" i="9"/>
  <c r="H91" i="9"/>
  <c r="H86" i="9"/>
  <c r="H80" i="9"/>
  <c r="H92" i="9"/>
  <c r="H84" i="9"/>
  <c r="H95" i="9"/>
  <c r="H98" i="9"/>
  <c r="H90" i="9"/>
  <c r="H83" i="9"/>
  <c r="H82" i="9"/>
  <c r="H100" i="9"/>
  <c r="H94" i="9"/>
  <c r="H87" i="9"/>
  <c r="H79" i="9"/>
  <c r="H88" i="9"/>
  <c r="M104" i="9"/>
  <c r="M106" i="9" s="1"/>
  <c r="N100" i="9"/>
  <c r="N96" i="9"/>
  <c r="N92" i="9"/>
  <c r="N88" i="9"/>
  <c r="N84" i="9"/>
  <c r="N80" i="9"/>
  <c r="N97" i="9"/>
  <c r="N91" i="9"/>
  <c r="N86" i="9"/>
  <c r="N81" i="9"/>
  <c r="N101" i="9"/>
  <c r="N94" i="9"/>
  <c r="N87" i="9"/>
  <c r="N79" i="9"/>
  <c r="N90" i="9"/>
  <c r="N93" i="9"/>
  <c r="N85" i="9"/>
  <c r="N95" i="9"/>
  <c r="N89" i="9"/>
  <c r="N82" i="9"/>
  <c r="N98" i="9"/>
  <c r="N83" i="9"/>
  <c r="E104" i="9"/>
  <c r="E106" i="9" s="1"/>
  <c r="F100" i="9"/>
  <c r="F95" i="9"/>
  <c r="F97" i="9"/>
  <c r="F92" i="9"/>
  <c r="F88" i="9"/>
  <c r="F84" i="9"/>
  <c r="F80" i="9"/>
  <c r="F101" i="9"/>
  <c r="F93" i="9"/>
  <c r="F87" i="9"/>
  <c r="F82" i="9"/>
  <c r="F98" i="9"/>
  <c r="F91" i="9"/>
  <c r="F86" i="9"/>
  <c r="F81" i="9"/>
  <c r="F94" i="9"/>
  <c r="F89" i="9"/>
  <c r="F83" i="9"/>
  <c r="F96" i="9"/>
  <c r="F90" i="9"/>
  <c r="F85" i="9"/>
  <c r="F79" i="9"/>
  <c r="D102" i="9"/>
  <c r="Z102" i="9" l="1"/>
  <c r="Z106" i="9" s="1"/>
  <c r="X102" i="9"/>
  <c r="O14" i="9"/>
  <c r="O16" i="9"/>
  <c r="O13" i="9"/>
  <c r="O18" i="9"/>
  <c r="V102" i="9"/>
  <c r="O12" i="9"/>
  <c r="P12" i="9" s="1"/>
  <c r="O19" i="9"/>
  <c r="T102" i="9"/>
  <c r="R102" i="9"/>
  <c r="P102" i="9"/>
  <c r="X22" i="13"/>
  <c r="X18" i="13"/>
  <c r="X32" i="13"/>
  <c r="N102" i="9"/>
  <c r="X27" i="13"/>
  <c r="X24" i="13"/>
  <c r="X21" i="13"/>
  <c r="X29" i="13"/>
  <c r="X15" i="13"/>
  <c r="X28" i="13"/>
  <c r="X26" i="13"/>
  <c r="X23" i="13"/>
  <c r="X30" i="13"/>
  <c r="X33" i="13"/>
  <c r="L102" i="9"/>
  <c r="X16" i="13"/>
  <c r="X25" i="13"/>
  <c r="X13" i="13"/>
  <c r="X14" i="13"/>
  <c r="X34" i="13"/>
  <c r="X31" i="13"/>
  <c r="X20" i="13"/>
  <c r="X19" i="13"/>
  <c r="J102" i="9"/>
  <c r="H102" i="9"/>
  <c r="F102" i="9"/>
  <c r="AB100" i="9"/>
  <c r="AB101" i="9"/>
  <c r="AB98" i="9"/>
  <c r="AB96" i="9"/>
  <c r="AB79" i="9"/>
  <c r="AB85" i="9"/>
  <c r="AB94" i="9"/>
  <c r="AB95" i="9"/>
  <c r="AB92" i="9"/>
  <c r="AB91" i="9"/>
  <c r="AB97" i="9"/>
  <c r="AB81" i="9"/>
  <c r="AB88" i="9"/>
  <c r="AB90" i="9"/>
  <c r="AB87" i="9"/>
  <c r="AB86" i="9"/>
  <c r="AB93" i="9"/>
  <c r="AB99" i="9"/>
  <c r="AB83" i="9"/>
  <c r="AB84" i="9"/>
  <c r="AB82" i="9"/>
  <c r="AB80" i="9"/>
  <c r="AB89" i="9"/>
  <c r="G136" i="9"/>
  <c r="AB102" i="9" l="1"/>
  <c r="E136" i="9"/>
  <c r="E137" i="9"/>
  <c r="O11" i="11"/>
  <c r="H16" i="18" l="1"/>
  <c r="BV3" i="19" s="1"/>
  <c r="R11" i="11"/>
  <c r="D32" i="16"/>
  <c r="C136" i="9"/>
  <c r="C137" i="9"/>
  <c r="AC137" i="9" s="1"/>
  <c r="AC140" i="9"/>
  <c r="AC138" i="9"/>
  <c r="AC136" i="9"/>
  <c r="AC135" i="9"/>
  <c r="AC134" i="9"/>
  <c r="AC133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B32" i="16"/>
  <c r="N104" i="11"/>
  <c r="O10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M163" i="11"/>
  <c r="M158" i="11"/>
  <c r="M153" i="11"/>
  <c r="M148" i="11"/>
  <c r="M143" i="11"/>
  <c r="M138" i="11"/>
  <c r="M133" i="11"/>
  <c r="M129" i="11"/>
  <c r="M124" i="11"/>
  <c r="M118" i="11"/>
  <c r="M112" i="11"/>
  <c r="M107" i="11"/>
  <c r="M104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G18" i="18" l="1"/>
  <c r="BL3" i="19" s="1"/>
  <c r="G22" i="18"/>
  <c r="BP3" i="19" s="1"/>
  <c r="G24" i="18"/>
  <c r="BR3" i="19" s="1"/>
  <c r="H15" i="18"/>
  <c r="BU3" i="19" s="1"/>
  <c r="G19" i="18"/>
  <c r="BM3" i="19" s="1"/>
  <c r="G21" i="18"/>
  <c r="BO3" i="19" s="1"/>
  <c r="G23" i="18"/>
  <c r="BQ3" i="19" s="1"/>
  <c r="G25" i="18"/>
  <c r="BS3" i="19" s="1"/>
  <c r="G20" i="18"/>
  <c r="BN3" i="19" s="1"/>
  <c r="G26" i="18"/>
  <c r="BT3" i="19" s="1"/>
  <c r="G16" i="18"/>
  <c r="BJ3" i="19" s="1"/>
  <c r="H27" i="18"/>
  <c r="N10" i="11"/>
  <c r="N26" i="11" s="1"/>
  <c r="G15" i="18"/>
  <c r="P12" i="11"/>
  <c r="G17" i="18"/>
  <c r="BK3" i="19" s="1"/>
  <c r="R10" i="11"/>
  <c r="N21" i="11"/>
  <c r="P21" i="11"/>
  <c r="N20" i="11"/>
  <c r="P20" i="11"/>
  <c r="P19" i="11"/>
  <c r="N14" i="11"/>
  <c r="P14" i="11"/>
  <c r="N16" i="11"/>
  <c r="P16" i="11"/>
  <c r="N18" i="11"/>
  <c r="P18" i="11"/>
  <c r="P11" i="11"/>
  <c r="N13" i="11"/>
  <c r="P13" i="11"/>
  <c r="P15" i="11"/>
  <c r="N17" i="11"/>
  <c r="P17" i="11"/>
  <c r="N12" i="11"/>
  <c r="M52" i="11"/>
  <c r="N19" i="11"/>
  <c r="M36" i="11"/>
  <c r="M47" i="11"/>
  <c r="M57" i="11"/>
  <c r="M67" i="11"/>
  <c r="P10" i="11"/>
  <c r="M42" i="11"/>
  <c r="M62" i="11"/>
  <c r="M23" i="11"/>
  <c r="N15" i="11"/>
  <c r="M26" i="11"/>
  <c r="M81" i="11"/>
  <c r="M31" i="11"/>
  <c r="M72" i="11"/>
  <c r="N11" i="11"/>
  <c r="AC139" i="9"/>
  <c r="AC141" i="9" s="1"/>
  <c r="C139" i="9"/>
  <c r="E139" i="9"/>
  <c r="G139" i="9"/>
  <c r="G141" i="9" s="1"/>
  <c r="I139" i="9"/>
  <c r="J137" i="9" s="1"/>
  <c r="K139" i="9"/>
  <c r="M139" i="9"/>
  <c r="N136" i="9" s="1"/>
  <c r="O139" i="9"/>
  <c r="P136" i="9" s="1"/>
  <c r="Q139" i="9"/>
  <c r="S139" i="9"/>
  <c r="U139" i="9"/>
  <c r="V136" i="9" s="1"/>
  <c r="Y139" i="9"/>
  <c r="Z137" i="9" s="1"/>
  <c r="Y173" i="9"/>
  <c r="BI3" i="19" l="1"/>
  <c r="G27" i="18"/>
  <c r="M76" i="11"/>
  <c r="W141" i="9"/>
  <c r="W143" i="9" s="1"/>
  <c r="X120" i="9"/>
  <c r="X124" i="9"/>
  <c r="X128" i="9"/>
  <c r="X132" i="9"/>
  <c r="X136" i="9"/>
  <c r="X117" i="9"/>
  <c r="X121" i="9"/>
  <c r="X125" i="9"/>
  <c r="X129" i="9"/>
  <c r="X133" i="9"/>
  <c r="X137" i="9"/>
  <c r="X116" i="9"/>
  <c r="X118" i="9"/>
  <c r="X122" i="9"/>
  <c r="X126" i="9"/>
  <c r="X130" i="9"/>
  <c r="X134" i="9"/>
  <c r="X138" i="9"/>
  <c r="X119" i="9"/>
  <c r="X123" i="9"/>
  <c r="X127" i="9"/>
  <c r="X131" i="9"/>
  <c r="X135" i="9"/>
  <c r="G143" i="9"/>
  <c r="H118" i="9"/>
  <c r="H122" i="9"/>
  <c r="H126" i="9"/>
  <c r="H130" i="9"/>
  <c r="H134" i="9"/>
  <c r="H138" i="9"/>
  <c r="H116" i="9"/>
  <c r="H119" i="9"/>
  <c r="H123" i="9"/>
  <c r="H127" i="9"/>
  <c r="H131" i="9"/>
  <c r="H135" i="9"/>
  <c r="H120" i="9"/>
  <c r="H124" i="9"/>
  <c r="H128" i="9"/>
  <c r="H132" i="9"/>
  <c r="H136" i="9"/>
  <c r="H117" i="9"/>
  <c r="H121" i="9"/>
  <c r="H125" i="9"/>
  <c r="H129" i="9"/>
  <c r="H133" i="9"/>
  <c r="H137" i="9"/>
  <c r="M141" i="9"/>
  <c r="M143" i="9" s="1"/>
  <c r="N120" i="9"/>
  <c r="N124" i="9"/>
  <c r="N128" i="9"/>
  <c r="N132" i="9"/>
  <c r="N117" i="9"/>
  <c r="N121" i="9"/>
  <c r="N125" i="9"/>
  <c r="N129" i="9"/>
  <c r="N133" i="9"/>
  <c r="N137" i="9"/>
  <c r="N118" i="9"/>
  <c r="N122" i="9"/>
  <c r="N126" i="9"/>
  <c r="N130" i="9"/>
  <c r="N134" i="9"/>
  <c r="N138" i="9"/>
  <c r="N119" i="9"/>
  <c r="N123" i="9"/>
  <c r="N127" i="9"/>
  <c r="N131" i="9"/>
  <c r="N135" i="9"/>
  <c r="N116" i="9"/>
  <c r="F138" i="9"/>
  <c r="F136" i="9"/>
  <c r="C141" i="9"/>
  <c r="C143" i="9" s="1"/>
  <c r="D119" i="9"/>
  <c r="D123" i="9"/>
  <c r="D127" i="9"/>
  <c r="D131" i="9"/>
  <c r="D135" i="9"/>
  <c r="D136" i="9"/>
  <c r="D120" i="9"/>
  <c r="D124" i="9"/>
  <c r="D128" i="9"/>
  <c r="D132" i="9"/>
  <c r="D117" i="9"/>
  <c r="D121" i="9"/>
  <c r="D125" i="9"/>
  <c r="D129" i="9"/>
  <c r="D133" i="9"/>
  <c r="D138" i="9"/>
  <c r="D118" i="9"/>
  <c r="D122" i="9"/>
  <c r="D126" i="9"/>
  <c r="D130" i="9"/>
  <c r="D134" i="9"/>
  <c r="D116" i="9"/>
  <c r="S141" i="9"/>
  <c r="S143" i="9" s="1"/>
  <c r="T118" i="9"/>
  <c r="T122" i="9"/>
  <c r="T126" i="9"/>
  <c r="T130" i="9"/>
  <c r="T134" i="9"/>
  <c r="T138" i="9"/>
  <c r="T119" i="9"/>
  <c r="T123" i="9"/>
  <c r="T127" i="9"/>
  <c r="T131" i="9"/>
  <c r="T135" i="9"/>
  <c r="T120" i="9"/>
  <c r="T124" i="9"/>
  <c r="T128" i="9"/>
  <c r="T132" i="9"/>
  <c r="T136" i="9"/>
  <c r="T116" i="9"/>
  <c r="T117" i="9"/>
  <c r="T121" i="9"/>
  <c r="T125" i="9"/>
  <c r="T129" i="9"/>
  <c r="T133" i="9"/>
  <c r="T137" i="9"/>
  <c r="D137" i="9"/>
  <c r="E141" i="9"/>
  <c r="E143" i="9" s="1"/>
  <c r="F117" i="9"/>
  <c r="F119" i="9"/>
  <c r="F121" i="9"/>
  <c r="F123" i="9"/>
  <c r="F125" i="9"/>
  <c r="F127" i="9"/>
  <c r="F129" i="9"/>
  <c r="F131" i="9"/>
  <c r="F133" i="9"/>
  <c r="F135" i="9"/>
  <c r="F137" i="9"/>
  <c r="F118" i="9"/>
  <c r="F120" i="9"/>
  <c r="F122" i="9"/>
  <c r="F124" i="9"/>
  <c r="F126" i="9"/>
  <c r="F128" i="9"/>
  <c r="F130" i="9"/>
  <c r="F132" i="9"/>
  <c r="F134" i="9"/>
  <c r="F116" i="9"/>
  <c r="Y141" i="9"/>
  <c r="Y143" i="9" s="1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8" i="9"/>
  <c r="Z116" i="9"/>
  <c r="Z139" i="9" s="1"/>
  <c r="Z143" i="9" s="1"/>
  <c r="U141" i="9"/>
  <c r="U143" i="9" s="1"/>
  <c r="V117" i="9"/>
  <c r="V118" i="9"/>
  <c r="V119" i="9"/>
  <c r="V120" i="9"/>
  <c r="V121" i="9"/>
  <c r="V122" i="9"/>
  <c r="V123" i="9"/>
  <c r="V124" i="9"/>
  <c r="V125" i="9"/>
  <c r="V126" i="9"/>
  <c r="V127" i="9"/>
  <c r="V128" i="9"/>
  <c r="V129" i="9"/>
  <c r="V130" i="9"/>
  <c r="V131" i="9"/>
  <c r="V132" i="9"/>
  <c r="V133" i="9"/>
  <c r="V134" i="9"/>
  <c r="V135" i="9"/>
  <c r="V137" i="9"/>
  <c r="V138" i="9"/>
  <c r="V116" i="9"/>
  <c r="O141" i="9"/>
  <c r="O143" i="9" s="1"/>
  <c r="P117" i="9"/>
  <c r="P119" i="9"/>
  <c r="P121" i="9"/>
  <c r="P123" i="9"/>
  <c r="P125" i="9"/>
  <c r="P127" i="9"/>
  <c r="P129" i="9"/>
  <c r="P131" i="9"/>
  <c r="P133" i="9"/>
  <c r="P135" i="9"/>
  <c r="P137" i="9"/>
  <c r="P116" i="9"/>
  <c r="P118" i="9"/>
  <c r="P120" i="9"/>
  <c r="P122" i="9"/>
  <c r="P124" i="9"/>
  <c r="P126" i="9"/>
  <c r="P128" i="9"/>
  <c r="P130" i="9"/>
  <c r="P132" i="9"/>
  <c r="P134" i="9"/>
  <c r="P138" i="9"/>
  <c r="Q141" i="9"/>
  <c r="Q143" i="9" s="1"/>
  <c r="R118" i="9"/>
  <c r="R120" i="9"/>
  <c r="R122" i="9"/>
  <c r="R124" i="9"/>
  <c r="R126" i="9"/>
  <c r="R128" i="9"/>
  <c r="R130" i="9"/>
  <c r="R132" i="9"/>
  <c r="R134" i="9"/>
  <c r="R138" i="9"/>
  <c r="R117" i="9"/>
  <c r="R119" i="9"/>
  <c r="R121" i="9"/>
  <c r="R123" i="9"/>
  <c r="R125" i="9"/>
  <c r="R127" i="9"/>
  <c r="R129" i="9"/>
  <c r="R131" i="9"/>
  <c r="R133" i="9"/>
  <c r="R135" i="9"/>
  <c r="R137" i="9"/>
  <c r="R116" i="9"/>
  <c r="I141" i="9"/>
  <c r="I143" i="9" s="1"/>
  <c r="J117" i="9"/>
  <c r="J119" i="9"/>
  <c r="J121" i="9"/>
  <c r="J123" i="9"/>
  <c r="J125" i="9"/>
  <c r="J127" i="9"/>
  <c r="J129" i="9"/>
  <c r="J131" i="9"/>
  <c r="J133" i="9"/>
  <c r="J135" i="9"/>
  <c r="J118" i="9"/>
  <c r="J120" i="9"/>
  <c r="J122" i="9"/>
  <c r="J124" i="9"/>
  <c r="J126" i="9"/>
  <c r="J128" i="9"/>
  <c r="J130" i="9"/>
  <c r="J132" i="9"/>
  <c r="J134" i="9"/>
  <c r="J136" i="9"/>
  <c r="J138" i="9"/>
  <c r="J116" i="9"/>
  <c r="K141" i="9"/>
  <c r="K143" i="9" s="1"/>
  <c r="L118" i="9"/>
  <c r="L120" i="9"/>
  <c r="L122" i="9"/>
  <c r="L124" i="9"/>
  <c r="L126" i="9"/>
  <c r="L128" i="9"/>
  <c r="L130" i="9"/>
  <c r="L132" i="9"/>
  <c r="L134" i="9"/>
  <c r="L136" i="9"/>
  <c r="L138" i="9"/>
  <c r="L116" i="9"/>
  <c r="L117" i="9"/>
  <c r="L119" i="9"/>
  <c r="L121" i="9"/>
  <c r="L123" i="9"/>
  <c r="L125" i="9"/>
  <c r="L127" i="9"/>
  <c r="L129" i="9"/>
  <c r="L131" i="9"/>
  <c r="L133" i="9"/>
  <c r="L135" i="9"/>
  <c r="L137" i="9"/>
  <c r="Z33" i="13" l="1"/>
  <c r="Z30" i="13"/>
  <c r="Z22" i="13"/>
  <c r="Z14" i="13"/>
  <c r="Z29" i="13"/>
  <c r="Z21" i="13"/>
  <c r="Z13" i="13"/>
  <c r="Z24" i="13"/>
  <c r="Z16" i="13"/>
  <c r="Z31" i="13"/>
  <c r="Z23" i="13"/>
  <c r="Z15" i="13"/>
  <c r="Z26" i="13"/>
  <c r="Z18" i="13"/>
  <c r="Z34" i="13"/>
  <c r="Z25" i="13"/>
  <c r="Z17" i="13"/>
  <c r="Z28" i="13"/>
  <c r="Z20" i="13"/>
  <c r="Z32" i="13"/>
  <c r="Z27" i="13"/>
  <c r="Z19" i="13"/>
  <c r="D139" i="9"/>
  <c r="R139" i="9"/>
  <c r="V139" i="9"/>
  <c r="X139" i="9"/>
  <c r="T139" i="9"/>
  <c r="P139" i="9"/>
  <c r="N139" i="9"/>
  <c r="L139" i="9"/>
  <c r="H139" i="9"/>
  <c r="F139" i="9"/>
  <c r="AB138" i="9"/>
  <c r="AB134" i="9"/>
  <c r="AB130" i="9"/>
  <c r="AB126" i="9"/>
  <c r="AB122" i="9"/>
  <c r="AB118" i="9"/>
  <c r="AB135" i="9"/>
  <c r="AB131" i="9"/>
  <c r="AB127" i="9"/>
  <c r="AB123" i="9"/>
  <c r="AB119" i="9"/>
  <c r="J139" i="9"/>
  <c r="AB116" i="9"/>
  <c r="AB136" i="9"/>
  <c r="AB132" i="9"/>
  <c r="AB128" i="9"/>
  <c r="AB124" i="9"/>
  <c r="AB120" i="9"/>
  <c r="AB137" i="9"/>
  <c r="AB133" i="9"/>
  <c r="AB129" i="9"/>
  <c r="AB125" i="9"/>
  <c r="AB121" i="9"/>
  <c r="AB117" i="9"/>
  <c r="W173" i="9"/>
  <c r="AB139" i="9" l="1"/>
  <c r="B35" i="9"/>
  <c r="K163" i="11"/>
  <c r="N163" i="11" s="1"/>
  <c r="K158" i="11"/>
  <c r="N158" i="11" s="1"/>
  <c r="U173" i="9"/>
  <c r="U174" i="9"/>
  <c r="K153" i="11"/>
  <c r="N153" i="11" s="1"/>
  <c r="K72" i="11"/>
  <c r="N72" i="11" s="1"/>
  <c r="S173" i="9"/>
  <c r="S174" i="9"/>
  <c r="K148" i="11"/>
  <c r="N148" i="11" s="1"/>
  <c r="Q173" i="9"/>
  <c r="Q174" i="9"/>
  <c r="K143" i="11"/>
  <c r="N143" i="11" s="1"/>
  <c r="K67" i="11"/>
  <c r="N67" i="11" s="1"/>
  <c r="K62" i="11"/>
  <c r="N62" i="11" s="1"/>
  <c r="O173" i="9"/>
  <c r="O174" i="9"/>
  <c r="K138" i="11"/>
  <c r="N138" i="11" s="1"/>
  <c r="K57" i="11"/>
  <c r="N57" i="11" s="1"/>
  <c r="K76" i="11" l="1"/>
  <c r="M173" i="9"/>
  <c r="M174" i="9"/>
  <c r="K133" i="11"/>
  <c r="N133" i="11" s="1"/>
  <c r="K52" i="11"/>
  <c r="N52" i="11" s="1"/>
  <c r="K173" i="9"/>
  <c r="K174" i="9"/>
  <c r="K129" i="11"/>
  <c r="N129" i="11" s="1"/>
  <c r="K47" i="11"/>
  <c r="N47" i="11" s="1"/>
  <c r="X49" i="11"/>
  <c r="I173" i="9"/>
  <c r="I174" i="9"/>
  <c r="O124" i="11"/>
  <c r="K124" i="11"/>
  <c r="N124" i="11" s="1"/>
  <c r="K42" i="11"/>
  <c r="N42" i="11" s="1"/>
  <c r="G173" i="9"/>
  <c r="G174" i="9"/>
  <c r="O112" i="11"/>
  <c r="R112" i="11" s="1"/>
  <c r="K112" i="11"/>
  <c r="N112" i="11" s="1"/>
  <c r="K118" i="11"/>
  <c r="K36" i="11"/>
  <c r="N36" i="11" s="1"/>
  <c r="K31" i="11"/>
  <c r="N31" i="11" s="1"/>
  <c r="O104" i="11"/>
  <c r="R104" i="11" s="1"/>
  <c r="E173" i="9"/>
  <c r="E174" i="9"/>
  <c r="O107" i="11"/>
  <c r="R107" i="11" s="1"/>
  <c r="K107" i="11"/>
  <c r="N107" i="11" s="1"/>
  <c r="I112" i="11"/>
  <c r="I107" i="11"/>
  <c r="B16" i="16"/>
  <c r="C173" i="9"/>
  <c r="C174" i="9"/>
  <c r="AC177" i="9"/>
  <c r="AC175" i="9"/>
  <c r="Y176" i="9"/>
  <c r="W176" i="9"/>
  <c r="X173" i="9" s="1"/>
  <c r="U176" i="9"/>
  <c r="S176" i="9"/>
  <c r="T173" i="9" s="1"/>
  <c r="Q176" i="9"/>
  <c r="R174" i="9" s="1"/>
  <c r="O176" i="9"/>
  <c r="AC172" i="9"/>
  <c r="AC171" i="9"/>
  <c r="AC170" i="9"/>
  <c r="AC169" i="9"/>
  <c r="AC168" i="9"/>
  <c r="AC167" i="9"/>
  <c r="AC166" i="9"/>
  <c r="AC165" i="9"/>
  <c r="AC164" i="9"/>
  <c r="AC163" i="9"/>
  <c r="AC162" i="9"/>
  <c r="AC161" i="9"/>
  <c r="AC160" i="9"/>
  <c r="AC159" i="9"/>
  <c r="AC158" i="9"/>
  <c r="AC157" i="9"/>
  <c r="AC156" i="9"/>
  <c r="AC155" i="9"/>
  <c r="AC154" i="9"/>
  <c r="AC153" i="9"/>
  <c r="O23" i="11"/>
  <c r="K26" i="11"/>
  <c r="K23" i="11"/>
  <c r="N23" i="11" s="1"/>
  <c r="L15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104" i="11"/>
  <c r="K104" i="11"/>
  <c r="W331" i="9"/>
  <c r="AB324" i="9" s="1"/>
  <c r="AB304" i="9"/>
  <c r="AC304" i="9"/>
  <c r="AB305" i="9"/>
  <c r="AC305" i="9"/>
  <c r="AB306" i="9"/>
  <c r="AC306" i="9"/>
  <c r="AB307" i="9"/>
  <c r="AC307" i="9"/>
  <c r="AB308" i="9"/>
  <c r="AC308" i="9"/>
  <c r="AB309" i="9"/>
  <c r="AC309" i="9"/>
  <c r="AB310" i="9"/>
  <c r="AC310" i="9"/>
  <c r="AB311" i="9"/>
  <c r="AC311" i="9"/>
  <c r="AB312" i="9"/>
  <c r="AC312" i="9"/>
  <c r="AB313" i="9"/>
  <c r="AC313" i="9"/>
  <c r="AB314" i="9"/>
  <c r="AC314" i="9"/>
  <c r="AB315" i="9"/>
  <c r="AC315" i="9"/>
  <c r="AB316" i="9"/>
  <c r="AC316" i="9"/>
  <c r="AB317" i="9"/>
  <c r="AC317" i="9"/>
  <c r="AB318" i="9"/>
  <c r="AC318" i="9"/>
  <c r="AB319" i="9"/>
  <c r="AC319" i="9"/>
  <c r="AB320" i="9"/>
  <c r="AC320" i="9"/>
  <c r="AB321" i="9"/>
  <c r="AC321" i="9"/>
  <c r="AB322" i="9"/>
  <c r="AC322" i="9"/>
  <c r="AB323" i="9"/>
  <c r="AC323" i="9"/>
  <c r="AC303" i="9"/>
  <c r="AB303" i="9"/>
  <c r="AC229" i="9"/>
  <c r="AC230" i="9"/>
  <c r="AC231" i="9"/>
  <c r="AC232" i="9"/>
  <c r="AC233" i="9"/>
  <c r="AC234" i="9"/>
  <c r="AC235" i="9"/>
  <c r="AC236" i="9"/>
  <c r="AC237" i="9"/>
  <c r="AC238" i="9"/>
  <c r="AC239" i="9"/>
  <c r="AC240" i="9"/>
  <c r="AC241" i="9"/>
  <c r="AC242" i="9"/>
  <c r="AC243" i="9"/>
  <c r="AC244" i="9"/>
  <c r="AC245" i="9"/>
  <c r="AC246" i="9"/>
  <c r="AC247" i="9"/>
  <c r="AC250" i="9"/>
  <c r="AC327" i="9"/>
  <c r="AC252" i="9"/>
  <c r="AC228" i="9"/>
  <c r="AC214" i="9"/>
  <c r="Y248" i="9"/>
  <c r="AC248" i="9" s="1"/>
  <c r="Y249" i="9"/>
  <c r="AC249" i="9" s="1"/>
  <c r="AC191" i="9"/>
  <c r="AC192" i="9"/>
  <c r="AC193" i="9"/>
  <c r="AC194" i="9"/>
  <c r="AC195" i="9"/>
  <c r="AC196" i="9"/>
  <c r="AC197" i="9"/>
  <c r="AC198" i="9"/>
  <c r="AC199" i="9"/>
  <c r="AC200" i="9"/>
  <c r="AC201" i="9"/>
  <c r="AC202" i="9"/>
  <c r="AC203" i="9"/>
  <c r="AC204" i="9"/>
  <c r="AC205" i="9"/>
  <c r="AC206" i="9"/>
  <c r="AC207" i="9"/>
  <c r="AC208" i="9"/>
  <c r="AC209" i="9"/>
  <c r="AC212" i="9"/>
  <c r="AC190" i="9"/>
  <c r="X28" i="11" l="1"/>
  <c r="Y116" i="11"/>
  <c r="X116" i="11"/>
  <c r="X121" i="11"/>
  <c r="X131" i="11"/>
  <c r="X109" i="11"/>
  <c r="X39" i="11"/>
  <c r="X115" i="11"/>
  <c r="E176" i="9"/>
  <c r="F175" i="9" s="1"/>
  <c r="M176" i="9"/>
  <c r="M178" i="9" s="1"/>
  <c r="M180" i="9" s="1"/>
  <c r="R124" i="11"/>
  <c r="AC174" i="9"/>
  <c r="G176" i="9"/>
  <c r="H161" i="9" s="1"/>
  <c r="I176" i="9"/>
  <c r="I178" i="9" s="1"/>
  <c r="I180" i="9" s="1"/>
  <c r="K81" i="11"/>
  <c r="N81" i="11" s="1"/>
  <c r="N76" i="11"/>
  <c r="P124" i="11"/>
  <c r="Y178" i="9"/>
  <c r="Y180" i="9" s="1"/>
  <c r="Z160" i="9"/>
  <c r="Z161" i="9"/>
  <c r="Z169" i="9"/>
  <c r="Z154" i="9"/>
  <c r="Z158" i="9"/>
  <c r="Z162" i="9"/>
  <c r="Z166" i="9"/>
  <c r="Z170" i="9"/>
  <c r="Z174" i="9"/>
  <c r="Z163" i="9"/>
  <c r="Z171" i="9"/>
  <c r="Z156" i="9"/>
  <c r="Z164" i="9"/>
  <c r="Z172" i="9"/>
  <c r="Z155" i="9"/>
  <c r="Z159" i="9"/>
  <c r="Z167" i="9"/>
  <c r="Z175" i="9"/>
  <c r="Z168" i="9"/>
  <c r="Z153" i="9"/>
  <c r="Z157" i="9"/>
  <c r="Z165" i="9"/>
  <c r="Z173" i="9"/>
  <c r="P107" i="11"/>
  <c r="P112" i="11"/>
  <c r="F174" i="9"/>
  <c r="N174" i="9"/>
  <c r="F173" i="9"/>
  <c r="J174" i="9"/>
  <c r="C16" i="16"/>
  <c r="H165" i="9"/>
  <c r="H160" i="9"/>
  <c r="H155" i="9"/>
  <c r="H154" i="9"/>
  <c r="U178" i="9"/>
  <c r="U180" i="9" s="1"/>
  <c r="V155" i="9"/>
  <c r="V159" i="9"/>
  <c r="V163" i="9"/>
  <c r="V167" i="9"/>
  <c r="V171" i="9"/>
  <c r="V153" i="9"/>
  <c r="V156" i="9"/>
  <c r="V160" i="9"/>
  <c r="V164" i="9"/>
  <c r="V168" i="9"/>
  <c r="V172" i="9"/>
  <c r="V157" i="9"/>
  <c r="V161" i="9"/>
  <c r="V165" i="9"/>
  <c r="V169" i="9"/>
  <c r="V154" i="9"/>
  <c r="V158" i="9"/>
  <c r="V162" i="9"/>
  <c r="V166" i="9"/>
  <c r="V170" i="9"/>
  <c r="V175" i="9"/>
  <c r="F155" i="9"/>
  <c r="F159" i="9"/>
  <c r="F163" i="9"/>
  <c r="F167" i="9"/>
  <c r="F171" i="9"/>
  <c r="J156" i="9"/>
  <c r="J164" i="9"/>
  <c r="J168" i="9"/>
  <c r="J172" i="9"/>
  <c r="K176" i="9"/>
  <c r="L173" i="9" s="1"/>
  <c r="N156" i="9"/>
  <c r="N160" i="9"/>
  <c r="N164" i="9"/>
  <c r="N168" i="9"/>
  <c r="N172" i="9"/>
  <c r="V174" i="9"/>
  <c r="O178" i="9"/>
  <c r="O180" i="9" s="1"/>
  <c r="P173" i="9"/>
  <c r="P171" i="9"/>
  <c r="P167" i="9"/>
  <c r="P163" i="9"/>
  <c r="P155" i="9"/>
  <c r="P175" i="9"/>
  <c r="P170" i="9"/>
  <c r="P166" i="9"/>
  <c r="P162" i="9"/>
  <c r="P158" i="9"/>
  <c r="P154" i="9"/>
  <c r="P169" i="9"/>
  <c r="P161" i="9"/>
  <c r="P153" i="9"/>
  <c r="P165" i="9"/>
  <c r="P157" i="9"/>
  <c r="P172" i="9"/>
  <c r="P168" i="9"/>
  <c r="P164" i="9"/>
  <c r="P160" i="9"/>
  <c r="P156" i="9"/>
  <c r="P159" i="9"/>
  <c r="L107" i="11"/>
  <c r="F156" i="9"/>
  <c r="F160" i="9"/>
  <c r="F164" i="9"/>
  <c r="F168" i="9"/>
  <c r="F172" i="9"/>
  <c r="J153" i="9"/>
  <c r="J161" i="9"/>
  <c r="J165" i="9"/>
  <c r="J169" i="9"/>
  <c r="N153" i="9"/>
  <c r="N157" i="9"/>
  <c r="N161" i="9"/>
  <c r="N165" i="9"/>
  <c r="N169" i="9"/>
  <c r="Q178" i="9"/>
  <c r="Q180" i="9" s="1"/>
  <c r="R173" i="9"/>
  <c r="R157" i="9"/>
  <c r="R161" i="9"/>
  <c r="R165" i="9"/>
  <c r="R169" i="9"/>
  <c r="R154" i="9"/>
  <c r="R158" i="9"/>
  <c r="R162" i="9"/>
  <c r="R166" i="9"/>
  <c r="R170" i="9"/>
  <c r="R175" i="9"/>
  <c r="R155" i="9"/>
  <c r="R159" i="9"/>
  <c r="R163" i="9"/>
  <c r="R167" i="9"/>
  <c r="R171" i="9"/>
  <c r="R153" i="9"/>
  <c r="R156" i="9"/>
  <c r="R160" i="9"/>
  <c r="R164" i="9"/>
  <c r="R168" i="9"/>
  <c r="R172" i="9"/>
  <c r="O36" i="11"/>
  <c r="L112" i="11"/>
  <c r="F153" i="9"/>
  <c r="F157" i="9"/>
  <c r="F161" i="9"/>
  <c r="F165" i="9"/>
  <c r="F169" i="9"/>
  <c r="O31" i="11"/>
  <c r="R31" i="11" s="1"/>
  <c r="J154" i="9"/>
  <c r="J158" i="9"/>
  <c r="J162" i="9"/>
  <c r="J166" i="9"/>
  <c r="J170" i="9"/>
  <c r="J175" i="9"/>
  <c r="N154" i="9"/>
  <c r="N158" i="9"/>
  <c r="N162" i="9"/>
  <c r="N166" i="9"/>
  <c r="N170" i="9"/>
  <c r="N175" i="9"/>
  <c r="V173" i="9"/>
  <c r="AB326" i="9"/>
  <c r="S178" i="9"/>
  <c r="S180" i="9" s="1"/>
  <c r="T156" i="9"/>
  <c r="T160" i="9"/>
  <c r="T164" i="9"/>
  <c r="T168" i="9"/>
  <c r="T172" i="9"/>
  <c r="T157" i="9"/>
  <c r="T161" i="9"/>
  <c r="T165" i="9"/>
  <c r="T169" i="9"/>
  <c r="T154" i="9"/>
  <c r="T158" i="9"/>
  <c r="T162" i="9"/>
  <c r="T166" i="9"/>
  <c r="T170" i="9"/>
  <c r="T175" i="9"/>
  <c r="T155" i="9"/>
  <c r="T159" i="9"/>
  <c r="T163" i="9"/>
  <c r="T167" i="9"/>
  <c r="T171" i="9"/>
  <c r="T153" i="9"/>
  <c r="E178" i="9"/>
  <c r="E180" i="9" s="1"/>
  <c r="F154" i="9"/>
  <c r="F158" i="9"/>
  <c r="F162" i="9"/>
  <c r="F166" i="9"/>
  <c r="F170" i="9"/>
  <c r="J155" i="9"/>
  <c r="J159" i="9"/>
  <c r="J163" i="9"/>
  <c r="J167" i="9"/>
  <c r="J171" i="9"/>
  <c r="N155" i="9"/>
  <c r="N159" i="9"/>
  <c r="N163" i="9"/>
  <c r="N167" i="9"/>
  <c r="N171" i="9"/>
  <c r="N173" i="9"/>
  <c r="P174" i="9"/>
  <c r="T174" i="9"/>
  <c r="W178" i="9"/>
  <c r="W180" i="9" s="1"/>
  <c r="X155" i="9"/>
  <c r="X157" i="9"/>
  <c r="X159" i="9"/>
  <c r="X161" i="9"/>
  <c r="X163" i="9"/>
  <c r="X165" i="9"/>
  <c r="X167" i="9"/>
  <c r="X169" i="9"/>
  <c r="X171" i="9"/>
  <c r="X175" i="9"/>
  <c r="X154" i="9"/>
  <c r="X156" i="9"/>
  <c r="X158" i="9"/>
  <c r="X160" i="9"/>
  <c r="X162" i="9"/>
  <c r="X164" i="9"/>
  <c r="X166" i="9"/>
  <c r="X168" i="9"/>
  <c r="X170" i="9"/>
  <c r="X172" i="9"/>
  <c r="X174" i="9"/>
  <c r="X153" i="9"/>
  <c r="H175" i="9"/>
  <c r="G178" i="9"/>
  <c r="G180" i="9" s="1"/>
  <c r="H169" i="9"/>
  <c r="H171" i="9"/>
  <c r="H174" i="9"/>
  <c r="AC251" i="9"/>
  <c r="AC253" i="9" s="1"/>
  <c r="Y251" i="9"/>
  <c r="Z249" i="9" s="1"/>
  <c r="AB249" i="9" s="1"/>
  <c r="AC324" i="9"/>
  <c r="AC326" i="9" s="1"/>
  <c r="AC328" i="9" s="1"/>
  <c r="C176" i="9"/>
  <c r="AC173" i="9"/>
  <c r="AC176" i="9" s="1"/>
  <c r="AC178" i="9" s="1"/>
  <c r="G30" i="13"/>
  <c r="G28" i="13"/>
  <c r="G26" i="13"/>
  <c r="G24" i="13"/>
  <c r="G22" i="13"/>
  <c r="G20" i="13"/>
  <c r="G18" i="13"/>
  <c r="G16" i="13"/>
  <c r="N31" i="13" l="1"/>
  <c r="G32" i="13"/>
  <c r="P36" i="11"/>
  <c r="R36" i="11"/>
  <c r="H162" i="9"/>
  <c r="H167" i="9"/>
  <c r="H153" i="9"/>
  <c r="H173" i="9"/>
  <c r="H172" i="9"/>
  <c r="H156" i="9"/>
  <c r="H157" i="9"/>
  <c r="H158" i="9"/>
  <c r="H159" i="9"/>
  <c r="H168" i="9"/>
  <c r="H170" i="9"/>
  <c r="J173" i="9"/>
  <c r="J157" i="9"/>
  <c r="J160" i="9"/>
  <c r="H166" i="9"/>
  <c r="H163" i="9"/>
  <c r="H164" i="9"/>
  <c r="G15" i="13"/>
  <c r="G17" i="13"/>
  <c r="G19" i="13"/>
  <c r="H19" i="13" s="1"/>
  <c r="G21" i="13"/>
  <c r="G23" i="13"/>
  <c r="G25" i="13"/>
  <c r="G27" i="13"/>
  <c r="H27" i="13" s="1"/>
  <c r="G29" i="13"/>
  <c r="G31" i="13"/>
  <c r="G33" i="13"/>
  <c r="H176" i="9"/>
  <c r="P31" i="11"/>
  <c r="C35" i="9"/>
  <c r="F176" i="9"/>
  <c r="N176" i="9"/>
  <c r="K178" i="9"/>
  <c r="K180" i="9" s="1"/>
  <c r="L174" i="9"/>
  <c r="L169" i="9"/>
  <c r="L165" i="9"/>
  <c r="L161" i="9"/>
  <c r="L157" i="9"/>
  <c r="L153" i="9"/>
  <c r="L172" i="9"/>
  <c r="L168" i="9"/>
  <c r="L164" i="9"/>
  <c r="L160" i="9"/>
  <c r="L156" i="9"/>
  <c r="L171" i="9"/>
  <c r="L167" i="9"/>
  <c r="L163" i="9"/>
  <c r="L159" i="9"/>
  <c r="L155" i="9"/>
  <c r="L175" i="9"/>
  <c r="L170" i="9"/>
  <c r="L166" i="9"/>
  <c r="L162" i="9"/>
  <c r="L158" i="9"/>
  <c r="L154" i="9"/>
  <c r="Z248" i="9"/>
  <c r="AB248" i="9" s="1"/>
  <c r="J176" i="9"/>
  <c r="P176" i="9"/>
  <c r="N33" i="13"/>
  <c r="O33" i="13" s="1"/>
  <c r="C178" i="9"/>
  <c r="C180" i="9" s="1"/>
  <c r="D153" i="9"/>
  <c r="D155" i="9"/>
  <c r="D157" i="9"/>
  <c r="D159" i="9"/>
  <c r="D161" i="9"/>
  <c r="D163" i="9"/>
  <c r="D165" i="9"/>
  <c r="D167" i="9"/>
  <c r="D169" i="9"/>
  <c r="D171" i="9"/>
  <c r="D154" i="9"/>
  <c r="D156" i="9"/>
  <c r="D158" i="9"/>
  <c r="D160" i="9"/>
  <c r="D162" i="9"/>
  <c r="D164" i="9"/>
  <c r="D166" i="9"/>
  <c r="D168" i="9"/>
  <c r="D170" i="9"/>
  <c r="D172" i="9"/>
  <c r="D175" i="9"/>
  <c r="D174" i="9"/>
  <c r="Y253" i="9"/>
  <c r="Y255" i="9" s="1"/>
  <c r="Z229" i="9"/>
  <c r="AB229" i="9" s="1"/>
  <c r="Z231" i="9"/>
  <c r="AB231" i="9" s="1"/>
  <c r="Z233" i="9"/>
  <c r="AB233" i="9" s="1"/>
  <c r="Z235" i="9"/>
  <c r="AB235" i="9" s="1"/>
  <c r="Z237" i="9"/>
  <c r="AB237" i="9" s="1"/>
  <c r="Z239" i="9"/>
  <c r="AB239" i="9" s="1"/>
  <c r="Z241" i="9"/>
  <c r="AB241" i="9" s="1"/>
  <c r="Z243" i="9"/>
  <c r="AB243" i="9" s="1"/>
  <c r="Z245" i="9"/>
  <c r="AB245" i="9" s="1"/>
  <c r="Z247" i="9"/>
  <c r="AB247" i="9" s="1"/>
  <c r="Z250" i="9"/>
  <c r="AB250" i="9" s="1"/>
  <c r="Z230" i="9"/>
  <c r="AB230" i="9" s="1"/>
  <c r="Z232" i="9"/>
  <c r="AB232" i="9" s="1"/>
  <c r="Z234" i="9"/>
  <c r="AB234" i="9" s="1"/>
  <c r="Z236" i="9"/>
  <c r="AB236" i="9" s="1"/>
  <c r="Z238" i="9"/>
  <c r="AB238" i="9" s="1"/>
  <c r="Z240" i="9"/>
  <c r="AB240" i="9" s="1"/>
  <c r="Z242" i="9"/>
  <c r="AB242" i="9" s="1"/>
  <c r="Z244" i="9"/>
  <c r="AB244" i="9" s="1"/>
  <c r="Z246" i="9"/>
  <c r="AB246" i="9" s="1"/>
  <c r="Z228" i="9"/>
  <c r="D173" i="9"/>
  <c r="U15" i="13"/>
  <c r="V15" i="13" s="1"/>
  <c r="H16" i="13"/>
  <c r="N16" i="13"/>
  <c r="O16" i="13" s="1"/>
  <c r="U17" i="13"/>
  <c r="V17" i="13" s="1"/>
  <c r="H18" i="13"/>
  <c r="N18" i="13"/>
  <c r="O18" i="13" s="1"/>
  <c r="U19" i="13"/>
  <c r="V19" i="13" s="1"/>
  <c r="H20" i="13"/>
  <c r="N20" i="13"/>
  <c r="O20" i="13" s="1"/>
  <c r="U21" i="13"/>
  <c r="V21" i="13" s="1"/>
  <c r="H22" i="13"/>
  <c r="N22" i="13"/>
  <c r="O22" i="13" s="1"/>
  <c r="U23" i="13"/>
  <c r="V23" i="13" s="1"/>
  <c r="H24" i="13"/>
  <c r="N24" i="13"/>
  <c r="O24" i="13" s="1"/>
  <c r="U25" i="13"/>
  <c r="V25" i="13" s="1"/>
  <c r="H26" i="13"/>
  <c r="N26" i="13"/>
  <c r="O26" i="13" s="1"/>
  <c r="U27" i="13"/>
  <c r="V27" i="13" s="1"/>
  <c r="H28" i="13"/>
  <c r="N28" i="13"/>
  <c r="O28" i="13" s="1"/>
  <c r="U29" i="13"/>
  <c r="V29" i="13" s="1"/>
  <c r="H30" i="13"/>
  <c r="N30" i="13"/>
  <c r="O30" i="13" s="1"/>
  <c r="O31" i="13"/>
  <c r="U31" i="13"/>
  <c r="H32" i="13"/>
  <c r="N32" i="13"/>
  <c r="O32" i="13" s="1"/>
  <c r="U33" i="13"/>
  <c r="V33" i="13" s="1"/>
  <c r="H15" i="13"/>
  <c r="N15" i="13"/>
  <c r="O15" i="13" s="1"/>
  <c r="U16" i="13"/>
  <c r="V16" i="13" s="1"/>
  <c r="H17" i="13"/>
  <c r="N17" i="13"/>
  <c r="O17" i="13" s="1"/>
  <c r="U18" i="13"/>
  <c r="V18" i="13" s="1"/>
  <c r="N19" i="13"/>
  <c r="O19" i="13" s="1"/>
  <c r="U20" i="13"/>
  <c r="V20" i="13" s="1"/>
  <c r="H21" i="13"/>
  <c r="N21" i="13"/>
  <c r="O21" i="13" s="1"/>
  <c r="U22" i="13"/>
  <c r="V22" i="13" s="1"/>
  <c r="H23" i="13"/>
  <c r="N23" i="13"/>
  <c r="O23" i="13" s="1"/>
  <c r="U24" i="13"/>
  <c r="V24" i="13" s="1"/>
  <c r="H25" i="13"/>
  <c r="N25" i="13"/>
  <c r="O25" i="13" s="1"/>
  <c r="U26" i="13"/>
  <c r="V26" i="13" s="1"/>
  <c r="N27" i="13"/>
  <c r="O27" i="13" s="1"/>
  <c r="U28" i="13"/>
  <c r="V28" i="13" s="1"/>
  <c r="H29" i="13"/>
  <c r="N29" i="13"/>
  <c r="O29" i="13" s="1"/>
  <c r="U30" i="13"/>
  <c r="V30" i="13" s="1"/>
  <c r="U32" i="13"/>
  <c r="V32" i="13" s="1"/>
  <c r="G13" i="13" l="1"/>
  <c r="U13" i="13"/>
  <c r="L176" i="9"/>
  <c r="N13" i="13"/>
  <c r="G14" i="13"/>
  <c r="H14" i="13" s="1"/>
  <c r="Z251" i="9"/>
  <c r="AB228" i="9"/>
  <c r="AB251" i="9" s="1"/>
  <c r="AK14" i="13"/>
  <c r="AK13" i="13"/>
  <c r="D176" i="9"/>
  <c r="J35" i="13"/>
  <c r="N12" i="13"/>
  <c r="O12" i="13" s="1"/>
  <c r="N14" i="13"/>
  <c r="O14" i="13" s="1"/>
  <c r="G12" i="13"/>
  <c r="H12" i="13" s="1"/>
  <c r="U12" i="13"/>
  <c r="V12" i="13" s="1"/>
  <c r="U14" i="13"/>
  <c r="V14" i="13" s="1"/>
  <c r="AB35" i="13"/>
  <c r="Y211" i="9"/>
  <c r="W211" i="9"/>
  <c r="U211" i="9"/>
  <c r="S211" i="9"/>
  <c r="Q211" i="9"/>
  <c r="O211" i="9"/>
  <c r="Y210" i="9"/>
  <c r="W210" i="9"/>
  <c r="U210" i="9"/>
  <c r="S210" i="9"/>
  <c r="Q210" i="9"/>
  <c r="O210" i="9"/>
  <c r="AC210" i="9" l="1"/>
  <c r="W213" i="9"/>
  <c r="X212" i="9" s="1"/>
  <c r="Q213" i="9"/>
  <c r="R209" i="9" s="1"/>
  <c r="Y213" i="9"/>
  <c r="X35" i="13"/>
  <c r="S213" i="9"/>
  <c r="T212" i="9" s="1"/>
  <c r="AC211" i="9"/>
  <c r="AC213" i="9" s="1"/>
  <c r="AC215" i="9" s="1"/>
  <c r="U213" i="9"/>
  <c r="V212" i="9" s="1"/>
  <c r="T196" i="9"/>
  <c r="X209" i="9"/>
  <c r="X203" i="9"/>
  <c r="X199" i="9"/>
  <c r="X192" i="9"/>
  <c r="R206" i="9"/>
  <c r="R195" i="9"/>
  <c r="V211" i="9"/>
  <c r="V210" i="9"/>
  <c r="V209" i="9"/>
  <c r="V207" i="9"/>
  <c r="V206" i="9"/>
  <c r="V205" i="9"/>
  <c r="V203" i="9"/>
  <c r="V202" i="9"/>
  <c r="V201" i="9"/>
  <c r="V199" i="9"/>
  <c r="V198" i="9"/>
  <c r="V197" i="9"/>
  <c r="V195" i="9"/>
  <c r="V194" i="9"/>
  <c r="V192" i="9"/>
  <c r="U215" i="9"/>
  <c r="V193" i="9"/>
  <c r="V191" i="9"/>
  <c r="Z212" i="9"/>
  <c r="Z211" i="9"/>
  <c r="Z210" i="9"/>
  <c r="Z209" i="9"/>
  <c r="Z208" i="9"/>
  <c r="Z207" i="9"/>
  <c r="Z206" i="9"/>
  <c r="Z205" i="9"/>
  <c r="Z204" i="9"/>
  <c r="Z203" i="9"/>
  <c r="Z202" i="9"/>
  <c r="Z201" i="9"/>
  <c r="Z200" i="9"/>
  <c r="Z199" i="9"/>
  <c r="Z198" i="9"/>
  <c r="Z197" i="9"/>
  <c r="Z196" i="9"/>
  <c r="Z195" i="9"/>
  <c r="Z194" i="9"/>
  <c r="Z193" i="9"/>
  <c r="Z191" i="9"/>
  <c r="Z192" i="9"/>
  <c r="Z190" i="9"/>
  <c r="AK16" i="13"/>
  <c r="AL16" i="13" s="1"/>
  <c r="AK24" i="13"/>
  <c r="AL24" i="13" s="1"/>
  <c r="AK34" i="13"/>
  <c r="AK32" i="13"/>
  <c r="AL32" i="13" s="1"/>
  <c r="AK18" i="13"/>
  <c r="AL18" i="13" s="1"/>
  <c r="AK26" i="13"/>
  <c r="AL26" i="13" s="1"/>
  <c r="O213" i="9"/>
  <c r="AK12" i="13"/>
  <c r="AL12" i="13" s="1"/>
  <c r="AK20" i="13"/>
  <c r="AL20" i="13" s="1"/>
  <c r="AK28" i="13"/>
  <c r="AL28" i="13" s="1"/>
  <c r="AK17" i="13"/>
  <c r="AL17" i="13" s="1"/>
  <c r="AK21" i="13"/>
  <c r="AL21" i="13" s="1"/>
  <c r="AK25" i="13"/>
  <c r="AL25" i="13" s="1"/>
  <c r="AK29" i="13"/>
  <c r="AL29" i="13" s="1"/>
  <c r="AK22" i="13"/>
  <c r="AL22" i="13" s="1"/>
  <c r="AK30" i="13"/>
  <c r="AL30" i="13" s="1"/>
  <c r="AK15" i="13"/>
  <c r="AL15" i="13" s="1"/>
  <c r="AK19" i="13"/>
  <c r="AL19" i="13" s="1"/>
  <c r="AK23" i="13"/>
  <c r="AL23" i="13" s="1"/>
  <c r="AK27" i="13"/>
  <c r="AL27" i="13" s="1"/>
  <c r="AK31" i="13"/>
  <c r="AK33" i="13"/>
  <c r="AL33" i="13" s="1"/>
  <c r="AL14" i="13"/>
  <c r="K35" i="9"/>
  <c r="R193" i="9" l="1"/>
  <c r="R204" i="9"/>
  <c r="R211" i="9"/>
  <c r="R190" i="9"/>
  <c r="R199" i="9"/>
  <c r="R207" i="9"/>
  <c r="X193" i="9"/>
  <c r="X204" i="9"/>
  <c r="T207" i="9"/>
  <c r="R192" i="9"/>
  <c r="R200" i="9"/>
  <c r="R210" i="9"/>
  <c r="X197" i="9"/>
  <c r="X208" i="9"/>
  <c r="T191" i="9"/>
  <c r="T210" i="9"/>
  <c r="R196" i="9"/>
  <c r="R202" i="9"/>
  <c r="R212" i="9"/>
  <c r="X195" i="9"/>
  <c r="X200" i="9"/>
  <c r="X205" i="9"/>
  <c r="X210" i="9"/>
  <c r="T200" i="9"/>
  <c r="R194" i="9"/>
  <c r="R198" i="9"/>
  <c r="R203" i="9"/>
  <c r="R208" i="9"/>
  <c r="X191" i="9"/>
  <c r="X196" i="9"/>
  <c r="X201" i="9"/>
  <c r="X207" i="9"/>
  <c r="X211" i="9"/>
  <c r="T201" i="9"/>
  <c r="T211" i="9"/>
  <c r="R191" i="9"/>
  <c r="R197" i="9"/>
  <c r="R201" i="9"/>
  <c r="R205" i="9"/>
  <c r="X190" i="9"/>
  <c r="X194" i="9"/>
  <c r="X198" i="9"/>
  <c r="X202" i="9"/>
  <c r="X206" i="9"/>
  <c r="T195" i="9"/>
  <c r="T205" i="9"/>
  <c r="T192" i="9"/>
  <c r="T197" i="9"/>
  <c r="T203" i="9"/>
  <c r="T208" i="9"/>
  <c r="S215" i="9"/>
  <c r="Q215" i="9" s="1"/>
  <c r="T193" i="9"/>
  <c r="T199" i="9"/>
  <c r="T204" i="9"/>
  <c r="T209" i="9"/>
  <c r="V190" i="9"/>
  <c r="V196" i="9"/>
  <c r="V200" i="9"/>
  <c r="V204" i="9"/>
  <c r="V208" i="9"/>
  <c r="T190" i="9"/>
  <c r="T194" i="9"/>
  <c r="T198" i="9"/>
  <c r="T202" i="9"/>
  <c r="T206" i="9"/>
  <c r="Z213" i="9"/>
  <c r="V176" i="9"/>
  <c r="AK35" i="13"/>
  <c r="AB175" i="9"/>
  <c r="AB171" i="9"/>
  <c r="AB169" i="9"/>
  <c r="AB167" i="9"/>
  <c r="AB165" i="9"/>
  <c r="AB163" i="9"/>
  <c r="AB161" i="9"/>
  <c r="AB159" i="9"/>
  <c r="AB157" i="9"/>
  <c r="AB155" i="9"/>
  <c r="AB172" i="9"/>
  <c r="AB170" i="9"/>
  <c r="AB168" i="9"/>
  <c r="AB166" i="9"/>
  <c r="AB164" i="9"/>
  <c r="AB162" i="9"/>
  <c r="AB160" i="9"/>
  <c r="AB158" i="9"/>
  <c r="AB156" i="9"/>
  <c r="AB154" i="9"/>
  <c r="AB173" i="9"/>
  <c r="AB174" i="9"/>
  <c r="P211" i="9"/>
  <c r="P210" i="9"/>
  <c r="P212" i="9"/>
  <c r="P209" i="9"/>
  <c r="P208" i="9"/>
  <c r="P207" i="9"/>
  <c r="P206" i="9"/>
  <c r="P205" i="9"/>
  <c r="P204" i="9"/>
  <c r="P203" i="9"/>
  <c r="P202" i="9"/>
  <c r="P201" i="9"/>
  <c r="P200" i="9"/>
  <c r="P199" i="9"/>
  <c r="P198" i="9"/>
  <c r="P197" i="9"/>
  <c r="P196" i="9"/>
  <c r="P195" i="9"/>
  <c r="P194" i="9"/>
  <c r="P193" i="9"/>
  <c r="P192" i="9"/>
  <c r="P191" i="9"/>
  <c r="P190" i="9"/>
  <c r="Z176" i="9"/>
  <c r="Z180" i="9" s="1"/>
  <c r="R176" i="9"/>
  <c r="X176" i="9"/>
  <c r="T176" i="9"/>
  <c r="O215" i="9"/>
  <c r="E34" i="9"/>
  <c r="E33" i="9"/>
  <c r="G33" i="9" s="1"/>
  <c r="E32" i="9"/>
  <c r="E31" i="9"/>
  <c r="E30" i="9"/>
  <c r="G30" i="9" s="1"/>
  <c r="E29" i="9"/>
  <c r="E28" i="9"/>
  <c r="G28" i="9" s="1"/>
  <c r="E27" i="9"/>
  <c r="E26" i="9"/>
  <c r="G26" i="9" s="1"/>
  <c r="E25" i="9"/>
  <c r="E24" i="9"/>
  <c r="E23" i="9"/>
  <c r="E22" i="9"/>
  <c r="G22" i="9" s="1"/>
  <c r="E21" i="9"/>
  <c r="E20" i="9"/>
  <c r="G20" i="9" s="1"/>
  <c r="E19" i="9"/>
  <c r="E18" i="9"/>
  <c r="G18" i="9" s="1"/>
  <c r="E17" i="9"/>
  <c r="E16" i="9"/>
  <c r="G16" i="9" s="1"/>
  <c r="E15" i="9"/>
  <c r="E14" i="9"/>
  <c r="G14" i="9" s="1"/>
  <c r="E13" i="9"/>
  <c r="O163" i="11"/>
  <c r="Y165" i="11" l="1"/>
  <c r="X213" i="9"/>
  <c r="R213" i="9"/>
  <c r="E12" i="9"/>
  <c r="G12" i="9" s="1"/>
  <c r="AB195" i="9"/>
  <c r="AB200" i="9"/>
  <c r="AB204" i="9"/>
  <c r="AB197" i="9"/>
  <c r="AB201" i="9"/>
  <c r="AB205" i="9"/>
  <c r="AB209" i="9"/>
  <c r="V213" i="9"/>
  <c r="AB194" i="9"/>
  <c r="AB198" i="9"/>
  <c r="AB202" i="9"/>
  <c r="AB206" i="9"/>
  <c r="AB212" i="9"/>
  <c r="AB191" i="9"/>
  <c r="AB199" i="9"/>
  <c r="AB203" i="9"/>
  <c r="AB207" i="9"/>
  <c r="AB210" i="9"/>
  <c r="AB196" i="9"/>
  <c r="AB211" i="9"/>
  <c r="T213" i="9"/>
  <c r="AB192" i="9"/>
  <c r="AB208" i="9"/>
  <c r="AB193" i="9"/>
  <c r="P163" i="11"/>
  <c r="AB153" i="9"/>
  <c r="AB176" i="9" s="1"/>
  <c r="AB190" i="9"/>
  <c r="P213" i="9"/>
  <c r="G15" i="9"/>
  <c r="G17" i="9"/>
  <c r="G19" i="9"/>
  <c r="G21" i="9"/>
  <c r="G23" i="9"/>
  <c r="G25" i="9"/>
  <c r="G27" i="9"/>
  <c r="G29" i="9"/>
  <c r="G32" i="9"/>
  <c r="G34" i="9"/>
  <c r="I163" i="11"/>
  <c r="F163" i="11"/>
  <c r="D163" i="11"/>
  <c r="B163" i="11"/>
  <c r="O158" i="11"/>
  <c r="I158" i="11"/>
  <c r="F158" i="11"/>
  <c r="D158" i="11"/>
  <c r="B158" i="11"/>
  <c r="O153" i="11"/>
  <c r="I153" i="11"/>
  <c r="F153" i="11"/>
  <c r="D153" i="11"/>
  <c r="B153" i="11"/>
  <c r="O148" i="11"/>
  <c r="I148" i="11"/>
  <c r="F148" i="11"/>
  <c r="D148" i="11"/>
  <c r="B148" i="11"/>
  <c r="O143" i="11"/>
  <c r="I143" i="11"/>
  <c r="F143" i="11"/>
  <c r="D143" i="11"/>
  <c r="B143" i="11"/>
  <c r="L148" i="11" l="1"/>
  <c r="L158" i="11"/>
  <c r="X161" i="11"/>
  <c r="Y161" i="11"/>
  <c r="L163" i="11"/>
  <c r="Y166" i="11"/>
  <c r="X166" i="11"/>
  <c r="P148" i="11"/>
  <c r="P158" i="11"/>
  <c r="P153" i="11"/>
  <c r="P143" i="11"/>
  <c r="E35" i="9"/>
  <c r="G35" i="9" s="1"/>
  <c r="E163" i="11"/>
  <c r="AB213" i="9"/>
  <c r="G143" i="11"/>
  <c r="G153" i="11"/>
  <c r="G163" i="11"/>
  <c r="J143" i="11"/>
  <c r="L143" i="11"/>
  <c r="G148" i="11"/>
  <c r="G158" i="11"/>
  <c r="AD30" i="13"/>
  <c r="AE30" i="13" s="1"/>
  <c r="O30" i="9"/>
  <c r="P30" i="9" s="1"/>
  <c r="AD33" i="13"/>
  <c r="AE33" i="13" s="1"/>
  <c r="O33" i="9"/>
  <c r="P33" i="9" s="1"/>
  <c r="AD32" i="13"/>
  <c r="AE32" i="13" s="1"/>
  <c r="O32" i="9"/>
  <c r="P32" i="9" s="1"/>
  <c r="AD25" i="13"/>
  <c r="AE25" i="13" s="1"/>
  <c r="O25" i="9"/>
  <c r="P25" i="9" s="1"/>
  <c r="AD13" i="13"/>
  <c r="AD28" i="13"/>
  <c r="AE28" i="13" s="1"/>
  <c r="O28" i="9"/>
  <c r="P28" i="9" s="1"/>
  <c r="AD20" i="13"/>
  <c r="AE20" i="13" s="1"/>
  <c r="O20" i="9"/>
  <c r="P20" i="9" s="1"/>
  <c r="M35" i="9"/>
  <c r="AD27" i="13"/>
  <c r="AE27" i="13" s="1"/>
  <c r="O27" i="9"/>
  <c r="P27" i="9" s="1"/>
  <c r="AD19" i="13"/>
  <c r="AE19" i="13" s="1"/>
  <c r="P19" i="9"/>
  <c r="AD22" i="13"/>
  <c r="AE22" i="13" s="1"/>
  <c r="O22" i="9"/>
  <c r="P22" i="9" s="1"/>
  <c r="AD15" i="13"/>
  <c r="AE15" i="13" s="1"/>
  <c r="P15" i="9"/>
  <c r="AD14" i="13"/>
  <c r="AE14" i="13" s="1"/>
  <c r="P14" i="9"/>
  <c r="AD18" i="13"/>
  <c r="AE18" i="13" s="1"/>
  <c r="P18" i="9"/>
  <c r="AD29" i="13"/>
  <c r="AE29" i="13" s="1"/>
  <c r="O29" i="9"/>
  <c r="P29" i="9" s="1"/>
  <c r="AD21" i="13"/>
  <c r="AE21" i="13" s="1"/>
  <c r="O21" i="9"/>
  <c r="P21" i="9" s="1"/>
  <c r="AD34" i="13"/>
  <c r="AE34" i="13" s="1"/>
  <c r="O34" i="9"/>
  <c r="P34" i="9" s="1"/>
  <c r="AD24" i="13"/>
  <c r="AE24" i="13" s="1"/>
  <c r="O24" i="9"/>
  <c r="P24" i="9" s="1"/>
  <c r="AD16" i="13"/>
  <c r="AE16" i="13" s="1"/>
  <c r="P16" i="9"/>
  <c r="AD31" i="13"/>
  <c r="O31" i="9"/>
  <c r="AD23" i="13"/>
  <c r="AE23" i="13" s="1"/>
  <c r="O23" i="9"/>
  <c r="P23" i="9" s="1"/>
  <c r="AD26" i="13"/>
  <c r="AE26" i="13" s="1"/>
  <c r="O26" i="9"/>
  <c r="P26" i="9" s="1"/>
  <c r="AD17" i="13"/>
  <c r="AE17" i="13" s="1"/>
  <c r="P17" i="9"/>
  <c r="J153" i="11"/>
  <c r="L153" i="11"/>
  <c r="E148" i="11"/>
  <c r="J148" i="11"/>
  <c r="E158" i="11"/>
  <c r="J158" i="11"/>
  <c r="J163" i="11"/>
  <c r="E143" i="11"/>
  <c r="E153" i="11"/>
  <c r="O138" i="11"/>
  <c r="I138" i="11"/>
  <c r="F138" i="11"/>
  <c r="D138" i="11"/>
  <c r="B138" i="11"/>
  <c r="O133" i="11"/>
  <c r="I133" i="11"/>
  <c r="F133" i="11"/>
  <c r="D133" i="11"/>
  <c r="B133" i="11"/>
  <c r="O129" i="11"/>
  <c r="I129" i="11"/>
  <c r="F129" i="11"/>
  <c r="D129" i="11"/>
  <c r="B129" i="11"/>
  <c r="I124" i="11"/>
  <c r="F124" i="11"/>
  <c r="D124" i="11"/>
  <c r="B124" i="11"/>
  <c r="O118" i="11"/>
  <c r="R118" i="11" s="1"/>
  <c r="I118" i="11"/>
  <c r="F118" i="11"/>
  <c r="D118" i="11"/>
  <c r="B118" i="11"/>
  <c r="F112" i="11"/>
  <c r="J112" i="11" s="1"/>
  <c r="D112" i="11"/>
  <c r="B112" i="11"/>
  <c r="F107" i="11"/>
  <c r="J107" i="11" s="1"/>
  <c r="D107" i="11"/>
  <c r="B107" i="11"/>
  <c r="J104" i="11"/>
  <c r="I104" i="11"/>
  <c r="F104" i="11"/>
  <c r="D104" i="11"/>
  <c r="B104" i="11"/>
  <c r="J102" i="11"/>
  <c r="G102" i="11"/>
  <c r="E102" i="11"/>
  <c r="J101" i="11"/>
  <c r="G101" i="11"/>
  <c r="E101" i="11"/>
  <c r="J100" i="11"/>
  <c r="G100" i="11"/>
  <c r="E100" i="11"/>
  <c r="J99" i="11"/>
  <c r="G99" i="11"/>
  <c r="E99" i="11"/>
  <c r="J98" i="11"/>
  <c r="G98" i="11"/>
  <c r="E98" i="11"/>
  <c r="J97" i="11"/>
  <c r="G97" i="11"/>
  <c r="E97" i="11"/>
  <c r="J96" i="11"/>
  <c r="G96" i="11"/>
  <c r="E96" i="11"/>
  <c r="J95" i="11"/>
  <c r="G95" i="11"/>
  <c r="E95" i="11"/>
  <c r="J94" i="11"/>
  <c r="G94" i="11"/>
  <c r="E94" i="11"/>
  <c r="J93" i="11"/>
  <c r="G93" i="11"/>
  <c r="E93" i="11"/>
  <c r="J92" i="11"/>
  <c r="G92" i="11"/>
  <c r="E92" i="11"/>
  <c r="J91" i="11"/>
  <c r="G91" i="11"/>
  <c r="E91" i="11"/>
  <c r="Y110" i="11" l="1"/>
  <c r="X110" i="11"/>
  <c r="L118" i="11"/>
  <c r="L133" i="11"/>
  <c r="X135" i="11"/>
  <c r="P133" i="11"/>
  <c r="P138" i="11"/>
  <c r="P129" i="11"/>
  <c r="P118" i="11"/>
  <c r="E112" i="11"/>
  <c r="G118" i="11"/>
  <c r="E129" i="11"/>
  <c r="J133" i="11"/>
  <c r="E138" i="11"/>
  <c r="G112" i="11"/>
  <c r="G129" i="11"/>
  <c r="G133" i="11"/>
  <c r="O35" i="9"/>
  <c r="P35" i="9" s="1"/>
  <c r="J124" i="11"/>
  <c r="L124" i="11"/>
  <c r="J129" i="11"/>
  <c r="L129" i="11"/>
  <c r="J138" i="11"/>
  <c r="L138" i="11"/>
  <c r="Z35" i="13"/>
  <c r="AD12" i="13"/>
  <c r="AE12" i="13" s="1"/>
  <c r="G104" i="11"/>
  <c r="G107" i="11"/>
  <c r="E104" i="11"/>
  <c r="J118" i="11"/>
  <c r="G124" i="11"/>
  <c r="G138" i="11"/>
  <c r="E107" i="11"/>
  <c r="E133" i="11"/>
  <c r="E118" i="11"/>
  <c r="E124" i="11"/>
  <c r="I21" i="11" l="1"/>
  <c r="E26" i="18" s="1"/>
  <c r="AV3" i="19" s="1"/>
  <c r="F21" i="11"/>
  <c r="D26" i="18" s="1"/>
  <c r="AJ3" i="19" s="1"/>
  <c r="D21" i="11"/>
  <c r="C26" i="18" s="1"/>
  <c r="B21" i="11"/>
  <c r="B26" i="18" s="1"/>
  <c r="I20" i="11"/>
  <c r="F20" i="11"/>
  <c r="D25" i="18" s="1"/>
  <c r="AI3" i="19" s="1"/>
  <c r="D20" i="11"/>
  <c r="C25" i="18" s="1"/>
  <c r="I19" i="11"/>
  <c r="F19" i="11"/>
  <c r="D24" i="18" s="1"/>
  <c r="AH3" i="19" s="1"/>
  <c r="D19" i="11"/>
  <c r="C24" i="18" s="1"/>
  <c r="B19" i="11"/>
  <c r="B24" i="18" s="1"/>
  <c r="J3" i="19" l="1"/>
  <c r="V3" i="19"/>
  <c r="L20" i="11"/>
  <c r="E25" i="18"/>
  <c r="AU3" i="19" s="1"/>
  <c r="L19" i="11"/>
  <c r="E24" i="18"/>
  <c r="AT3" i="19" s="1"/>
  <c r="L3" i="19"/>
  <c r="X3" i="19"/>
  <c r="G21" i="11"/>
  <c r="G19" i="11"/>
  <c r="J21" i="11"/>
  <c r="L21" i="11"/>
  <c r="E19" i="11"/>
  <c r="G20" i="11"/>
  <c r="J19" i="11"/>
  <c r="J20" i="11"/>
  <c r="E20" i="11"/>
  <c r="E21" i="11"/>
  <c r="I18" i="11"/>
  <c r="E23" i="18" s="1"/>
  <c r="AS3" i="19" s="1"/>
  <c r="F18" i="11"/>
  <c r="D23" i="18" s="1"/>
  <c r="AG3" i="19" s="1"/>
  <c r="D18" i="11"/>
  <c r="C23" i="18" s="1"/>
  <c r="B18" i="11"/>
  <c r="B23" i="18" s="1"/>
  <c r="I3" i="19" l="1"/>
  <c r="U3" i="19"/>
  <c r="E18" i="11"/>
  <c r="G18" i="11"/>
  <c r="J18" i="11"/>
  <c r="L18" i="11"/>
  <c r="I17" i="11"/>
  <c r="F17" i="11"/>
  <c r="D22" i="18" s="1"/>
  <c r="AF3" i="19" s="1"/>
  <c r="D17" i="11"/>
  <c r="C22" i="18" s="1"/>
  <c r="B17" i="11"/>
  <c r="B22" i="18" s="1"/>
  <c r="L17" i="11" l="1"/>
  <c r="E22" i="18"/>
  <c r="AR3" i="19" s="1"/>
  <c r="H3" i="19"/>
  <c r="T3" i="19"/>
  <c r="E17" i="11"/>
  <c r="G17" i="11"/>
  <c r="J17" i="11"/>
  <c r="I16" i="11"/>
  <c r="F16" i="11"/>
  <c r="D21" i="18" s="1"/>
  <c r="AE3" i="19" s="1"/>
  <c r="D16" i="11"/>
  <c r="C21" i="18" s="1"/>
  <c r="B16" i="11"/>
  <c r="B21" i="18" s="1"/>
  <c r="F15" i="11"/>
  <c r="D20" i="18" s="1"/>
  <c r="AD3" i="19" s="1"/>
  <c r="D15" i="11"/>
  <c r="C20" i="18" s="1"/>
  <c r="R3" i="19" s="1"/>
  <c r="B15" i="11"/>
  <c r="B20" i="18" s="1"/>
  <c r="I14" i="11"/>
  <c r="F14" i="11"/>
  <c r="D19" i="18" s="1"/>
  <c r="AC3" i="19" s="1"/>
  <c r="D14" i="11"/>
  <c r="C19" i="18" s="1"/>
  <c r="Q3" i="19" s="1"/>
  <c r="B14" i="11"/>
  <c r="B19" i="18" s="1"/>
  <c r="E3" i="19" s="1"/>
  <c r="I13" i="11"/>
  <c r="E18" i="18" s="1"/>
  <c r="AN3" i="19" s="1"/>
  <c r="F13" i="11"/>
  <c r="D18" i="18" s="1"/>
  <c r="AB3" i="19" s="1"/>
  <c r="D13" i="11"/>
  <c r="C18" i="18" s="1"/>
  <c r="P3" i="19" s="1"/>
  <c r="B13" i="11"/>
  <c r="B18" i="18" s="1"/>
  <c r="I12" i="11"/>
  <c r="F12" i="11"/>
  <c r="D17" i="18" s="1"/>
  <c r="AA3" i="19" s="1"/>
  <c r="D12" i="11"/>
  <c r="C17" i="18" s="1"/>
  <c r="O3" i="19" s="1"/>
  <c r="B12" i="11"/>
  <c r="B17" i="18" s="1"/>
  <c r="C3" i="19" s="1"/>
  <c r="I11" i="11"/>
  <c r="E16" i="18" s="1"/>
  <c r="AL3" i="19" s="1"/>
  <c r="F11" i="11"/>
  <c r="D16" i="18" s="1"/>
  <c r="Z3" i="19" s="1"/>
  <c r="D11" i="11"/>
  <c r="C16" i="18" s="1"/>
  <c r="N3" i="19" s="1"/>
  <c r="B11" i="11"/>
  <c r="B16" i="18" s="1"/>
  <c r="B3" i="19" s="1"/>
  <c r="I10" i="11"/>
  <c r="F10" i="11"/>
  <c r="D15" i="18" s="1"/>
  <c r="D10" i="11"/>
  <c r="C15" i="18" s="1"/>
  <c r="B10" i="11"/>
  <c r="AD35" i="13"/>
  <c r="AE35" i="13" s="1"/>
  <c r="AL35" i="13"/>
  <c r="F3" i="19" l="1"/>
  <c r="D3" i="19"/>
  <c r="B31" i="11"/>
  <c r="B15" i="18"/>
  <c r="L12" i="11"/>
  <c r="E17" i="18"/>
  <c r="AM3" i="19" s="1"/>
  <c r="M3" i="19"/>
  <c r="C27" i="18"/>
  <c r="L10" i="11"/>
  <c r="E15" i="18"/>
  <c r="L16" i="11"/>
  <c r="E21" i="18"/>
  <c r="AQ3" i="19" s="1"/>
  <c r="Y3" i="19"/>
  <c r="D27" i="18"/>
  <c r="L14" i="11"/>
  <c r="E19" i="18"/>
  <c r="AO3" i="19" s="1"/>
  <c r="G3" i="19"/>
  <c r="S3" i="19"/>
  <c r="G14" i="11"/>
  <c r="E11" i="11"/>
  <c r="G15" i="11"/>
  <c r="J13" i="11"/>
  <c r="L13" i="11"/>
  <c r="J11" i="11"/>
  <c r="L11" i="11"/>
  <c r="E12" i="11"/>
  <c r="J14" i="11"/>
  <c r="G12" i="11"/>
  <c r="G13" i="11"/>
  <c r="G16" i="11"/>
  <c r="E10" i="11"/>
  <c r="G11" i="11"/>
  <c r="J12" i="11"/>
  <c r="E14" i="11"/>
  <c r="E16" i="11"/>
  <c r="F62" i="11"/>
  <c r="F57" i="11"/>
  <c r="F42" i="11"/>
  <c r="F36" i="11"/>
  <c r="F26" i="11"/>
  <c r="F31" i="11"/>
  <c r="F52" i="11"/>
  <c r="F47" i="11"/>
  <c r="F23" i="11"/>
  <c r="I67" i="11"/>
  <c r="I72" i="11"/>
  <c r="I62" i="11"/>
  <c r="I57" i="11"/>
  <c r="I42" i="11"/>
  <c r="I36" i="11"/>
  <c r="I26" i="11"/>
  <c r="I52" i="11"/>
  <c r="I47" i="11"/>
  <c r="I31" i="11"/>
  <c r="I23" i="11"/>
  <c r="L23" i="11" s="1"/>
  <c r="B62" i="11"/>
  <c r="B52" i="11"/>
  <c r="B42" i="11"/>
  <c r="B36" i="11"/>
  <c r="B26" i="11"/>
  <c r="B57" i="11"/>
  <c r="B47" i="11"/>
  <c r="B23" i="11"/>
  <c r="J16" i="11"/>
  <c r="G10" i="11"/>
  <c r="J10" i="11"/>
  <c r="J15" i="11"/>
  <c r="D62" i="11"/>
  <c r="D57" i="11"/>
  <c r="D42" i="11"/>
  <c r="E42" i="11" s="1"/>
  <c r="D36" i="11"/>
  <c r="E36" i="11" s="1"/>
  <c r="D26" i="11"/>
  <c r="D52" i="11"/>
  <c r="D47" i="11"/>
  <c r="E47" i="11" s="1"/>
  <c r="D31" i="11"/>
  <c r="D23" i="11"/>
  <c r="O81" i="11"/>
  <c r="R81" i="11" s="1"/>
  <c r="O72" i="11"/>
  <c r="R72" i="11" s="1"/>
  <c r="O67" i="11"/>
  <c r="R67" i="11" s="1"/>
  <c r="O62" i="11"/>
  <c r="R62" i="11" s="1"/>
  <c r="O42" i="11"/>
  <c r="O26" i="11"/>
  <c r="R26" i="11" s="1"/>
  <c r="O57" i="11"/>
  <c r="R57" i="11" s="1"/>
  <c r="O52" i="11"/>
  <c r="R52" i="11" s="1"/>
  <c r="O47" i="11"/>
  <c r="R47" i="11" s="1"/>
  <c r="E13" i="11"/>
  <c r="E15" i="11"/>
  <c r="Y29" i="11" l="1"/>
  <c r="X29" i="11"/>
  <c r="E31" i="11"/>
  <c r="B67" i="11"/>
  <c r="B72" i="11" s="1"/>
  <c r="Y75" i="11" s="1"/>
  <c r="X35" i="11"/>
  <c r="L72" i="11"/>
  <c r="AK3" i="19"/>
  <c r="E27" i="18"/>
  <c r="A3" i="19"/>
  <c r="B27" i="18"/>
  <c r="L67" i="11"/>
  <c r="R42" i="11"/>
  <c r="P81" i="11"/>
  <c r="P52" i="11"/>
  <c r="P62" i="11"/>
  <c r="P47" i="11"/>
  <c r="P57" i="11"/>
  <c r="P42" i="11"/>
  <c r="J23" i="11"/>
  <c r="P26" i="11"/>
  <c r="E23" i="11"/>
  <c r="E26" i="11"/>
  <c r="J42" i="11"/>
  <c r="L42" i="11"/>
  <c r="J26" i="11"/>
  <c r="L26" i="11"/>
  <c r="J62" i="11"/>
  <c r="L62" i="11"/>
  <c r="E52" i="11"/>
  <c r="E57" i="11"/>
  <c r="J31" i="11"/>
  <c r="L31" i="11"/>
  <c r="J36" i="11"/>
  <c r="L36" i="11"/>
  <c r="J47" i="11"/>
  <c r="L47" i="11"/>
  <c r="J52" i="11"/>
  <c r="L52" i="11"/>
  <c r="J57" i="11"/>
  <c r="L57" i="11"/>
  <c r="I76" i="11"/>
  <c r="F67" i="11"/>
  <c r="J67" i="11" s="1"/>
  <c r="G62" i="11"/>
  <c r="G23" i="11"/>
  <c r="G52" i="11"/>
  <c r="G26" i="11"/>
  <c r="G42" i="11"/>
  <c r="O76" i="11"/>
  <c r="R76" i="11" s="1"/>
  <c r="D67" i="11"/>
  <c r="E62" i="11"/>
  <c r="G47" i="11"/>
  <c r="G31" i="11"/>
  <c r="G36" i="11"/>
  <c r="G57" i="11"/>
  <c r="L76" i="11" l="1"/>
  <c r="Y79" i="11"/>
  <c r="X79" i="11"/>
  <c r="B76" i="11"/>
  <c r="P76" i="11"/>
  <c r="D72" i="11"/>
  <c r="E72" i="11" s="1"/>
  <c r="E67" i="11"/>
  <c r="F72" i="11"/>
  <c r="G67" i="11"/>
  <c r="U81" i="11" l="1"/>
  <c r="X83" i="11" s="1"/>
  <c r="B81" i="11"/>
  <c r="G72" i="11"/>
  <c r="J72" i="11"/>
  <c r="D76" i="11"/>
  <c r="D81" i="11" s="1"/>
  <c r="F76" i="11"/>
  <c r="F81" i="11" s="1"/>
  <c r="I81" i="11"/>
  <c r="E81" i="11" l="1"/>
  <c r="Y84" i="11"/>
  <c r="X84" i="11"/>
  <c r="J76" i="11"/>
  <c r="L81" i="11"/>
  <c r="G76" i="11"/>
  <c r="J81" i="11"/>
  <c r="E76" i="11"/>
  <c r="G81" i="11"/>
  <c r="C35" i="13"/>
  <c r="E35" i="13"/>
  <c r="Q35" i="13"/>
  <c r="S35" i="13"/>
  <c r="L35" i="13"/>
  <c r="N35" i="13" s="1"/>
  <c r="Y215" i="9"/>
  <c r="Y217" i="9" s="1"/>
  <c r="W215" i="9"/>
  <c r="W217" i="9" s="1"/>
  <c r="U217" i="9"/>
  <c r="S217" i="9"/>
  <c r="Q217" i="9"/>
  <c r="O217" i="9"/>
  <c r="G35" i="13" l="1"/>
  <c r="U35" i="13"/>
</calcChain>
</file>

<file path=xl/sharedStrings.xml><?xml version="1.0" encoding="utf-8"?>
<sst xmlns="http://schemas.openxmlformats.org/spreadsheetml/2006/main" count="1218" uniqueCount="206">
  <si>
    <t>City of Santa Fe</t>
  </si>
  <si>
    <t>MONTH</t>
  </si>
  <si>
    <t>JUL</t>
  </si>
  <si>
    <t xml:space="preserve">AUG </t>
  </si>
  <si>
    <t>SEPT</t>
  </si>
  <si>
    <t>OCT</t>
  </si>
  <si>
    <t>NOV</t>
  </si>
  <si>
    <t>DEC</t>
  </si>
  <si>
    <t>JAN</t>
  </si>
  <si>
    <t>FEB</t>
  </si>
  <si>
    <t>MAR</t>
  </si>
  <si>
    <t>APR</t>
  </si>
  <si>
    <t xml:space="preserve">MAY </t>
  </si>
  <si>
    <t>JUN</t>
  </si>
  <si>
    <t>TOTALS</t>
  </si>
  <si>
    <t>FISCAL YR</t>
  </si>
  <si>
    <t>%</t>
  </si>
  <si>
    <t xml:space="preserve"> </t>
  </si>
  <si>
    <t>Prior Years' Comparison:</t>
  </si>
  <si>
    <t>Dollar</t>
  </si>
  <si>
    <t>Percent</t>
  </si>
  <si>
    <t>Difference</t>
  </si>
  <si>
    <t>Mining</t>
  </si>
  <si>
    <t>Construction</t>
  </si>
  <si>
    <t>Manufacturing</t>
  </si>
  <si>
    <t>Wholesale</t>
  </si>
  <si>
    <t>Retail</t>
  </si>
  <si>
    <t>Total</t>
  </si>
  <si>
    <t>Raw #</t>
  </si>
  <si>
    <t>With</t>
  </si>
  <si>
    <t>Category</t>
  </si>
  <si>
    <t>Allocation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</si>
  <si>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</si>
  <si>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</si>
  <si>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</si>
  <si>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</si>
  <si>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</si>
  <si>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</si>
  <si>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</si>
  <si>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</si>
  <si>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</si>
  <si>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</si>
  <si>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</si>
  <si>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</si>
  <si>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Subtotal</t>
  </si>
  <si>
    <t>Admin fee</t>
  </si>
  <si>
    <t>Unclassified</t>
  </si>
  <si>
    <t xml:space="preserve">Retail </t>
  </si>
  <si>
    <t>Agriculture, forestry, hunting, fishing</t>
  </si>
  <si>
    <t>Utilities</t>
  </si>
  <si>
    <t>Transportation &amp; warehousing</t>
  </si>
  <si>
    <t>Finance &amp; Insurance</t>
  </si>
  <si>
    <t>Real estate, rental &amp; leasing</t>
  </si>
  <si>
    <t>Management of companies</t>
  </si>
  <si>
    <t>Finance &amp; insurance</t>
  </si>
  <si>
    <t>Information and Cultural Indust</t>
  </si>
  <si>
    <t>Professional, Scientific, Tech</t>
  </si>
  <si>
    <t>Admin &amp; Support, Waste Mgt</t>
  </si>
  <si>
    <t>Educational Services</t>
  </si>
  <si>
    <t>Health care and social assist</t>
  </si>
  <si>
    <t>Arts, Entertainment &amp; Recr</t>
  </si>
  <si>
    <t>Accommodation &amp; Food</t>
  </si>
  <si>
    <t>Public Administration</t>
  </si>
  <si>
    <t>Prof, Scientific, Technical</t>
  </si>
  <si>
    <t>Health Care &amp; Social Assist</t>
  </si>
  <si>
    <t>Other Services</t>
  </si>
  <si>
    <t>Information &amp; Cultural Indust.</t>
  </si>
  <si>
    <t>State hold harmless-food/med tax exmpt</t>
  </si>
  <si>
    <t>July -July</t>
  </si>
  <si>
    <t>July-Aug</t>
  </si>
  <si>
    <t>July-Sept</t>
  </si>
  <si>
    <t>Current year-to-date comparison to prior year-to-date:</t>
  </si>
  <si>
    <t>July-Oct</t>
  </si>
  <si>
    <t>July-Nov</t>
  </si>
  <si>
    <t>July-Dec</t>
  </si>
  <si>
    <t>July-Jan</t>
  </si>
  <si>
    <t>July-Feb</t>
  </si>
  <si>
    <t>July - Mar</t>
  </si>
  <si>
    <t>July - Apr</t>
  </si>
  <si>
    <t>July - May</t>
  </si>
  <si>
    <t>July - June</t>
  </si>
  <si>
    <t>2007/08</t>
  </si>
  <si>
    <t>Fiscal Years 2007-08 vs. 2006-07</t>
  </si>
  <si>
    <t>Gross Receipts by Category (Current and Delinquent)</t>
  </si>
  <si>
    <t>Admin Chrg</t>
  </si>
  <si>
    <t>Total Distribution</t>
  </si>
  <si>
    <t>GRT Analysis By Category</t>
  </si>
  <si>
    <t>Gross Receipts by Category</t>
  </si>
  <si>
    <t>August 2007 vs. August 2006</t>
  </si>
  <si>
    <t>July 2007 vs. July 2006</t>
  </si>
  <si>
    <t>(June Activity)</t>
  </si>
  <si>
    <t>(May Activity)</t>
  </si>
  <si>
    <t>*  Unclassified includes adjusting amount needed to balance to statement total.</t>
  </si>
  <si>
    <t>Unclassified *</t>
  </si>
  <si>
    <t>(July Activity)</t>
  </si>
  <si>
    <t>September 2007 vs. September 2006</t>
  </si>
  <si>
    <t>2008/09</t>
  </si>
  <si>
    <t>Municipal Equivalent Distribution</t>
  </si>
  <si>
    <t>Muni. Equivalent Distribution</t>
  </si>
  <si>
    <t>State reimb-food/med tax**</t>
  </si>
  <si>
    <t>2009/10</t>
  </si>
  <si>
    <t>July 2005 1/4% GRT increase: WATER</t>
  </si>
  <si>
    <t>Budget</t>
  </si>
  <si>
    <t>2010/11</t>
  </si>
  <si>
    <t>Fiscal Year 2009-2010</t>
  </si>
  <si>
    <t>Fiscal Year 2010-11</t>
  </si>
  <si>
    <t>Current year-to-date comparison to FY 07-08 year-to-date:</t>
  </si>
  <si>
    <t>Gross Receipts Taxes Collected (less Water 1/4%)</t>
  </si>
  <si>
    <t>Fiscal Year 2007-08</t>
  </si>
  <si>
    <t>Dollar Dif</t>
  </si>
  <si>
    <t>Percent Dif</t>
  </si>
  <si>
    <t>2007-2008</t>
  </si>
  <si>
    <t>FY 07-08</t>
  </si>
  <si>
    <t>July-Mar</t>
  </si>
  <si>
    <t xml:space="preserve">July -June </t>
  </si>
  <si>
    <t>2011/12</t>
  </si>
  <si>
    <t>Fiscal Year 2011-12</t>
  </si>
  <si>
    <t>CHANGE REST OF ALLOCATION FORMULAS</t>
  </si>
  <si>
    <t>FY Actual</t>
  </si>
  <si>
    <t>FY Budget</t>
  </si>
  <si>
    <t>Inc/Dec</t>
  </si>
  <si>
    <t>$ Diff to PY</t>
  </si>
  <si>
    <t>Over/Under</t>
  </si>
  <si>
    <t>Budget vs Actual year-to-date comparison</t>
  </si>
  <si>
    <t>w/alloc</t>
  </si>
  <si>
    <t>raw</t>
  </si>
  <si>
    <t>BUDGET</t>
  </si>
  <si>
    <t>ACTUAL</t>
  </si>
  <si>
    <t>BUDGET VS ACTUAL:</t>
  </si>
  <si>
    <t>Amount over(under) budget</t>
  </si>
  <si>
    <t>Statement</t>
  </si>
  <si>
    <t>State reimb-food/med tax</t>
  </si>
  <si>
    <t>used in chart</t>
  </si>
  <si>
    <t>diff food tax</t>
  </si>
  <si>
    <t>less 1x food tax diff</t>
  </si>
  <si>
    <t>2012/13</t>
  </si>
  <si>
    <t>Current Actual year-to-date vs. prior year-to-date:</t>
  </si>
  <si>
    <t>Current Actual year-to-date vs. FY 07-08 year-to-date:</t>
  </si>
  <si>
    <t>Current year-to-date vs. prior year-to-date:</t>
  </si>
  <si>
    <t>Current year-to-date vs. FY 07-08 year-to-date:</t>
  </si>
  <si>
    <t>Fiscal Year 2012-13</t>
  </si>
  <si>
    <t xml:space="preserve">% Actual </t>
  </si>
  <si>
    <t>to Budget</t>
  </si>
  <si>
    <t>2 YEARS VS BENCHMARK:</t>
  </si>
  <si>
    <t>2007/08 Benchmark</t>
  </si>
  <si>
    <t>Cumulative year-to-date to prior year-to-date:</t>
  </si>
  <si>
    <t>Cumulative year-to-date to FY 07-08 year-to-date:</t>
  </si>
  <si>
    <t>2013/14</t>
  </si>
  <si>
    <t>$ Diff</t>
  </si>
  <si>
    <t xml:space="preserve"> to PY</t>
  </si>
  <si>
    <t>Fiscal Year 2013-2014</t>
  </si>
  <si>
    <t>BENCHMARK YEAR</t>
  </si>
  <si>
    <t>Cumulative YTD</t>
  </si>
  <si>
    <t>Insert difference</t>
  </si>
  <si>
    <t>into unclassified</t>
  </si>
  <si>
    <t>2014/15</t>
  </si>
  <si>
    <t>FY 13-14</t>
  </si>
  <si>
    <t>2014-2015</t>
  </si>
  <si>
    <t>Fiscal Year 2014-15</t>
  </si>
  <si>
    <t>2014/2015</t>
  </si>
  <si>
    <t>Budget vs. Actual year-to-date comparison</t>
  </si>
  <si>
    <t>Increases - Significant</t>
  </si>
  <si>
    <t>Decreases - Significant</t>
  </si>
  <si>
    <t>http://research.stlouisfed.org/fred2/data/A191RI1A225NBEA.txt</t>
  </si>
  <si>
    <t>US Federal Bank - St. Louis</t>
  </si>
  <si>
    <t>ANNUAL DEFLATOR</t>
  </si>
  <si>
    <t>Average</t>
  </si>
  <si>
    <t>FY 08-09</t>
  </si>
  <si>
    <t>FY 09-10</t>
  </si>
  <si>
    <t>FY 10-11</t>
  </si>
  <si>
    <t>FY 11-12</t>
  </si>
  <si>
    <t>FY 12-13</t>
  </si>
  <si>
    <t>FY 14-15</t>
  </si>
  <si>
    <t>Adjusted</t>
  </si>
  <si>
    <t>Cash</t>
  </si>
  <si>
    <t>Fiscal Years 2014-15 vs. 2013-2014 and 2007-2008</t>
  </si>
  <si>
    <t>copy cell down</t>
  </si>
  <si>
    <t>Jul'07</t>
  </si>
  <si>
    <t>Jul'08</t>
  </si>
  <si>
    <t>Jul'09</t>
  </si>
  <si>
    <t>Jul'10</t>
  </si>
  <si>
    <t>Jul'11</t>
  </si>
  <si>
    <t>Jul'12</t>
  </si>
  <si>
    <t>Jul'13</t>
  </si>
  <si>
    <t>Jul'14</t>
  </si>
  <si>
    <t>Amount over(under) budget year-to-date:S68</t>
  </si>
  <si>
    <t>Amount over(under) budget year-to-date:</t>
  </si>
  <si>
    <t>2015/16</t>
  </si>
  <si>
    <t>FY 15-16</t>
  </si>
  <si>
    <t>Fiscal Years 2015-16 vs. 2014-15</t>
  </si>
  <si>
    <t>2015-2016</t>
  </si>
  <si>
    <t>Fiscal Year 2015-16</t>
  </si>
  <si>
    <t>FY 15-16 vs</t>
  </si>
  <si>
    <t>2015/16 **</t>
  </si>
  <si>
    <t>** FY 15-16 BUDGET column based on percent distribution of prior year actuals.</t>
  </si>
  <si>
    <t>2015/2016</t>
  </si>
  <si>
    <t>Jul'15</t>
  </si>
  <si>
    <t>Use actual fee for hold harmless</t>
  </si>
  <si>
    <t>(May - Jan Activity)</t>
  </si>
  <si>
    <t>Jul - Mar Cum.</t>
  </si>
  <si>
    <t>Apr' 16</t>
  </si>
  <si>
    <t>(February Activity)</t>
  </si>
  <si>
    <t>(May - February Activity)</t>
  </si>
  <si>
    <t>July-April</t>
  </si>
  <si>
    <t>Diff FY 15-16</t>
  </si>
  <si>
    <t>to FY 07-08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</si>
</sst>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0_);[Red]\(0.00\)"/>
    <numFmt numFmtId="167" formatCode="0.0%"/>
    <numFmt numFmtId="168" formatCode="[$-409]mmm\-yy;@"/>
    <numFmt numFmtId="169" formatCode="0.00_);\(0.00\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Helv"/>
    </font>
    <font>
      <sz val="12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Helv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b/>
      <sz val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4" xfId="0" applyBorder="1"/>
    <xf numFmtId="0" fontId="0" fillId="0" borderId="0" xfId="0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37" fontId="0" fillId="0" borderId="0" xfId="0" applyNumberFormat="1"/>
    <xf numFmtId="0" fontId="0" fillId="0" borderId="0" xfId="0" applyFill="1"/>
    <xf numFmtId="0" fontId="1" fillId="0" borderId="0" xfId="0" applyFont="1"/>
    <xf numFmtId="0" fontId="0" fillId="0" borderId="13" xfId="0" applyBorder="1"/>
    <xf numFmtId="0" fontId="2" fillId="0" borderId="0" xfId="0" applyFont="1" applyBorder="1" applyAlignment="1">
      <alignment horizontal="center"/>
    </xf>
    <xf numFmtId="43" fontId="3" fillId="0" borderId="4" xfId="0" applyNumberFormat="1" applyFont="1" applyBorder="1" applyAlignment="1">
      <alignment horizontal="center"/>
    </xf>
    <xf numFmtId="0" fontId="0" fillId="0" borderId="4" xfId="0" applyBorder="1" applyAlignment="1"/>
    <xf numFmtId="37" fontId="0" fillId="0" borderId="0" xfId="0" applyNumberFormat="1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2" fillId="0" borderId="0" xfId="0" applyFont="1" applyFill="1"/>
    <xf numFmtId="10" fontId="2" fillId="0" borderId="0" xfId="0" applyNumberFormat="1" applyFont="1" applyFill="1"/>
    <xf numFmtId="4" fontId="0" fillId="0" borderId="0" xfId="0" applyNumberFormat="1" applyFill="1"/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0" fillId="0" borderId="13" xfId="0" applyFill="1" applyBorder="1"/>
    <xf numFmtId="43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Fill="1" applyBorder="1"/>
    <xf numFmtId="37" fontId="3" fillId="0" borderId="0" xfId="0" applyNumberFormat="1" applyFont="1" applyFill="1"/>
    <xf numFmtId="37" fontId="0" fillId="0" borderId="0" xfId="0" applyNumberFormat="1" applyFill="1"/>
    <xf numFmtId="37" fontId="2" fillId="0" borderId="14" xfId="1" applyNumberFormat="1" applyFont="1" applyFill="1" applyBorder="1"/>
    <xf numFmtId="37" fontId="2" fillId="0" borderId="14" xfId="0" applyNumberFormat="1" applyFont="1" applyFill="1" applyBorder="1"/>
    <xf numFmtId="4" fontId="0" fillId="0" borderId="15" xfId="0" applyNumberFormat="1" applyFill="1" applyBorder="1"/>
    <xf numFmtId="39" fontId="0" fillId="0" borderId="4" xfId="0" applyNumberFormat="1" applyFill="1" applyBorder="1"/>
    <xf numFmtId="39" fontId="0" fillId="0" borderId="0" xfId="0" applyNumberFormat="1" applyFill="1"/>
    <xf numFmtId="43" fontId="0" fillId="0" borderId="0" xfId="0" applyNumberFormat="1" applyFill="1"/>
    <xf numFmtId="43" fontId="0" fillId="0" borderId="0" xfId="0" applyNumberFormat="1" applyFill="1" applyAlignment="1">
      <alignment horizontal="center"/>
    </xf>
    <xf numFmtId="43" fontId="2" fillId="0" borderId="0" xfId="0" applyNumberFormat="1" applyFont="1" applyFill="1"/>
    <xf numFmtId="43" fontId="1" fillId="0" borderId="0" xfId="0" applyNumberFormat="1" applyFont="1" applyFill="1"/>
    <xf numFmtId="43" fontId="0" fillId="0" borderId="0" xfId="0" applyNumberFormat="1" applyFill="1" applyBorder="1"/>
    <xf numFmtId="3" fontId="0" fillId="0" borderId="0" xfId="0" applyNumberFormat="1"/>
    <xf numFmtId="4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3" fontId="8" fillId="0" borderId="0" xfId="0" applyNumberFormat="1" applyFont="1" applyFill="1"/>
    <xf numFmtId="43" fontId="4" fillId="0" borderId="0" xfId="0" applyNumberFormat="1" applyFont="1" applyFill="1"/>
    <xf numFmtId="43" fontId="5" fillId="0" borderId="0" xfId="0" applyNumberFormat="1" applyFont="1" applyFill="1"/>
    <xf numFmtId="43" fontId="0" fillId="0" borderId="0" xfId="0" applyNumberFormat="1" applyFill="1" applyAlignment="1">
      <alignment horizontal="right"/>
    </xf>
    <xf numFmtId="43" fontId="2" fillId="0" borderId="4" xfId="0" applyNumberFormat="1" applyFont="1" applyFill="1" applyBorder="1" applyAlignment="1">
      <alignment horizontal="center"/>
    </xf>
    <xf numFmtId="43" fontId="8" fillId="0" borderId="0" xfId="0" applyNumberFormat="1" applyFont="1" applyFill="1" applyAlignment="1">
      <alignment horizontal="center"/>
    </xf>
    <xf numFmtId="43" fontId="8" fillId="0" borderId="4" xfId="0" applyNumberFormat="1" applyFont="1" applyFill="1" applyBorder="1"/>
    <xf numFmtId="43" fontId="4" fillId="0" borderId="0" xfId="0" applyNumberFormat="1" applyFont="1" applyFill="1" applyBorder="1"/>
    <xf numFmtId="4" fontId="1" fillId="0" borderId="0" xfId="0" applyNumberFormat="1" applyFont="1"/>
    <xf numFmtId="0" fontId="0" fillId="0" borderId="18" xfId="0" applyBorder="1" applyAlignment="1">
      <alignment horizontal="center"/>
    </xf>
    <xf numFmtId="0" fontId="0" fillId="0" borderId="18" xfId="0" applyBorder="1"/>
    <xf numFmtId="0" fontId="2" fillId="0" borderId="19" xfId="0" applyFont="1" applyBorder="1" applyAlignment="1">
      <alignment horizontal="center"/>
    </xf>
    <xf numFmtId="0" fontId="2" fillId="0" borderId="19" xfId="0" applyFont="1" applyBorder="1"/>
    <xf numFmtId="0" fontId="0" fillId="0" borderId="20" xfId="0" applyBorder="1"/>
    <xf numFmtId="0" fontId="0" fillId="0" borderId="19" xfId="0" applyFill="1" applyBorder="1"/>
    <xf numFmtId="0" fontId="1" fillId="0" borderId="0" xfId="0" applyFont="1" applyFill="1"/>
    <xf numFmtId="3" fontId="0" fillId="0" borderId="0" xfId="0" applyNumberFormat="1" applyBorder="1"/>
    <xf numFmtId="37" fontId="1" fillId="0" borderId="0" xfId="0" applyNumberFormat="1" applyFont="1" applyFill="1"/>
    <xf numFmtId="43" fontId="0" fillId="0" borderId="0" xfId="0" applyNumberFormat="1" applyFill="1" applyBorder="1" applyAlignment="1">
      <alignment horizontal="left"/>
    </xf>
    <xf numFmtId="43" fontId="0" fillId="0" borderId="13" xfId="0" applyNumberFormat="1" applyFill="1" applyBorder="1"/>
    <xf numFmtId="0" fontId="2" fillId="0" borderId="4" xfId="0" applyFont="1" applyFill="1" applyBorder="1"/>
    <xf numFmtId="37" fontId="1" fillId="0" borderId="0" xfId="0" applyNumberFormat="1" applyFont="1"/>
    <xf numFmtId="42" fontId="1" fillId="0" borderId="0" xfId="0" applyNumberFormat="1" applyFont="1" applyFill="1"/>
    <xf numFmtId="0" fontId="0" fillId="0" borderId="2" xfId="0" applyFill="1" applyBorder="1"/>
    <xf numFmtId="42" fontId="2" fillId="0" borderId="28" xfId="0" applyNumberFormat="1" applyFont="1" applyFill="1" applyBorder="1"/>
    <xf numFmtId="4" fontId="1" fillId="0" borderId="0" xfId="0" applyNumberFormat="1" applyFont="1" applyFill="1"/>
    <xf numFmtId="4" fontId="1" fillId="0" borderId="0" xfId="0" applyNumberFormat="1" applyFont="1" applyFill="1" applyBorder="1"/>
    <xf numFmtId="4" fontId="1" fillId="0" borderId="15" xfId="0" applyNumberFormat="1" applyFont="1" applyFill="1" applyBorder="1"/>
    <xf numFmtId="39" fontId="1" fillId="0" borderId="4" xfId="0" applyNumberFormat="1" applyFont="1" applyFill="1" applyBorder="1"/>
    <xf numFmtId="39" fontId="1" fillId="0" borderId="0" xfId="0" applyNumberFormat="1" applyFont="1" applyFill="1"/>
    <xf numFmtId="39" fontId="1" fillId="0" borderId="0" xfId="0" applyNumberFormat="1" applyFont="1"/>
    <xf numFmtId="43" fontId="1" fillId="0" borderId="0" xfId="0" applyNumberFormat="1" applyFont="1" applyFill="1" applyBorder="1"/>
    <xf numFmtId="0" fontId="1" fillId="0" borderId="0" xfId="3" applyBorder="1" applyAlignment="1">
      <alignment horizontal="center"/>
    </xf>
    <xf numFmtId="0" fontId="11" fillId="0" borderId="11" xfId="4" applyBorder="1" applyAlignment="1">
      <alignment horizontal="center"/>
    </xf>
    <xf numFmtId="0" fontId="11" fillId="0" borderId="2" xfId="4" applyBorder="1" applyAlignment="1">
      <alignment horizontal="center"/>
    </xf>
    <xf numFmtId="37" fontId="11" fillId="0" borderId="0" xfId="5" applyNumberFormat="1" applyFont="1" applyBorder="1"/>
    <xf numFmtId="37" fontId="1" fillId="0" borderId="0" xfId="5" applyNumberFormat="1" applyFont="1" applyBorder="1"/>
    <xf numFmtId="0" fontId="11" fillId="0" borderId="3" xfId="4" applyBorder="1" applyAlignment="1">
      <alignment horizontal="center"/>
    </xf>
    <xf numFmtId="37" fontId="11" fillId="0" borderId="4" xfId="5" applyNumberFormat="1" applyFont="1" applyBorder="1"/>
    <xf numFmtId="0" fontId="10" fillId="0" borderId="0" xfId="0" applyFont="1"/>
    <xf numFmtId="0" fontId="10" fillId="0" borderId="0" xfId="3" applyFont="1" applyFill="1" applyBorder="1" applyAlignment="1">
      <alignment horizontal="left"/>
    </xf>
    <xf numFmtId="0" fontId="0" fillId="0" borderId="30" xfId="0" applyBorder="1"/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3" fontId="1" fillId="0" borderId="0" xfId="5" applyNumberFormat="1" applyFont="1" applyBorder="1"/>
    <xf numFmtId="3" fontId="11" fillId="0" borderId="0" xfId="5" applyNumberFormat="1" applyFont="1" applyBorder="1"/>
    <xf numFmtId="0" fontId="1" fillId="0" borderId="0" xfId="0" applyFont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Border="1"/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4" xfId="0" applyFont="1" applyFill="1" applyBorder="1"/>
    <xf numFmtId="0" fontId="2" fillId="0" borderId="22" xfId="0" applyFont="1" applyFill="1" applyBorder="1"/>
    <xf numFmtId="37" fontId="2" fillId="0" borderId="22" xfId="0" applyNumberFormat="1" applyFont="1" applyFill="1" applyBorder="1"/>
    <xf numFmtId="10" fontId="2" fillId="0" borderId="14" xfId="0" applyNumberFormat="1" applyFont="1" applyFill="1" applyBorder="1"/>
    <xf numFmtId="10" fontId="2" fillId="0" borderId="33" xfId="0" applyNumberFormat="1" applyFont="1" applyFill="1" applyBorder="1"/>
    <xf numFmtId="37" fontId="1" fillId="0" borderId="0" xfId="5" applyNumberFormat="1" applyFont="1" applyFill="1" applyBorder="1"/>
    <xf numFmtId="0" fontId="1" fillId="0" borderId="6" xfId="4" applyFont="1" applyFill="1" applyBorder="1" applyAlignment="1">
      <alignment horizontal="center"/>
    </xf>
    <xf numFmtId="0" fontId="11" fillId="0" borderId="0" xfId="4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3" fontId="1" fillId="0" borderId="0" xfId="3" applyNumberFormat="1" applyBorder="1"/>
    <xf numFmtId="0" fontId="1" fillId="0" borderId="6" xfId="4" applyFont="1" applyBorder="1" applyAlignment="1">
      <alignment horizontal="center"/>
    </xf>
    <xf numFmtId="4" fontId="0" fillId="0" borderId="4" xfId="0" applyNumberFormat="1" applyFill="1" applyBorder="1"/>
    <xf numFmtId="0" fontId="2" fillId="0" borderId="6" xfId="0" applyFont="1" applyBorder="1"/>
    <xf numFmtId="37" fontId="1" fillId="0" borderId="0" xfId="5" applyNumberFormat="1" applyFont="1" applyFill="1" applyBorder="1"/>
    <xf numFmtId="0" fontId="1" fillId="0" borderId="13" xfId="0" applyFont="1" applyFill="1" applyBorder="1"/>
    <xf numFmtId="37" fontId="1" fillId="0" borderId="4" xfId="5" applyNumberFormat="1" applyFont="1" applyFill="1" applyBorder="1"/>
    <xf numFmtId="37" fontId="1" fillId="0" borderId="4" xfId="5" applyNumberFormat="1" applyFont="1" applyBorder="1"/>
    <xf numFmtId="0" fontId="1" fillId="0" borderId="4" xfId="3" applyBorder="1" applyAlignment="1">
      <alignment horizontal="center"/>
    </xf>
    <xf numFmtId="3" fontId="1" fillId="0" borderId="4" xfId="3" applyNumberFormat="1" applyBorder="1" applyAlignment="1">
      <alignment horizontal="center"/>
    </xf>
    <xf numFmtId="4" fontId="0" fillId="0" borderId="0" xfId="0" applyNumberFormat="1" applyFill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0" borderId="24" xfId="0" applyNumberFormat="1" applyFont="1" applyBorder="1" applyAlignment="1">
      <alignment horizontal="center"/>
    </xf>
    <xf numFmtId="39" fontId="2" fillId="0" borderId="10" xfId="0" applyNumberFormat="1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0" fontId="2" fillId="0" borderId="16" xfId="0" applyNumberFormat="1" applyFont="1" applyBorder="1" applyAlignment="1">
      <alignment horizontal="center"/>
    </xf>
    <xf numFmtId="39" fontId="2" fillId="0" borderId="2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" xfId="0" applyFont="1" applyBorder="1"/>
    <xf numFmtId="10" fontId="1" fillId="0" borderId="1" xfId="0" applyNumberFormat="1" applyFont="1" applyBorder="1"/>
    <xf numFmtId="10" fontId="1" fillId="0" borderId="0" xfId="0" applyNumberFormat="1" applyFont="1"/>
    <xf numFmtId="4" fontId="1" fillId="0" borderId="7" xfId="0" applyNumberFormat="1" applyFont="1" applyBorder="1"/>
    <xf numFmtId="4" fontId="1" fillId="0" borderId="1" xfId="0" applyNumberFormat="1" applyFont="1" applyBorder="1"/>
    <xf numFmtId="10" fontId="1" fillId="0" borderId="24" xfId="0" applyNumberFormat="1" applyFont="1" applyBorder="1"/>
    <xf numFmtId="4" fontId="1" fillId="0" borderId="9" xfId="0" applyNumberFormat="1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37" fontId="1" fillId="0" borderId="2" xfId="1" applyNumberFormat="1" applyFont="1" applyBorder="1"/>
    <xf numFmtId="3" fontId="1" fillId="0" borderId="2" xfId="0" applyNumberFormat="1" applyFont="1" applyBorder="1"/>
    <xf numFmtId="10" fontId="1" fillId="0" borderId="0" xfId="0" applyNumberFormat="1" applyFont="1" applyBorder="1"/>
    <xf numFmtId="10" fontId="1" fillId="0" borderId="16" xfId="0" applyNumberFormat="1" applyFont="1" applyBorder="1"/>
    <xf numFmtId="3" fontId="1" fillId="0" borderId="8" xfId="0" applyNumberFormat="1" applyFont="1" applyFill="1" applyBorder="1"/>
    <xf numFmtId="3" fontId="1" fillId="0" borderId="0" xfId="0" applyNumberFormat="1" applyFont="1" applyBorder="1"/>
    <xf numFmtId="37" fontId="1" fillId="0" borderId="23" xfId="0" applyNumberFormat="1" applyFont="1" applyBorder="1"/>
    <xf numFmtId="3" fontId="1" fillId="0" borderId="8" xfId="0" applyNumberFormat="1" applyFont="1" applyBorder="1"/>
    <xf numFmtId="0" fontId="12" fillId="0" borderId="0" xfId="0" applyFont="1" applyBorder="1"/>
    <xf numFmtId="3" fontId="1" fillId="0" borderId="2" xfId="0" quotePrefix="1" applyNumberFormat="1" applyFont="1" applyFill="1" applyBorder="1"/>
    <xf numFmtId="3" fontId="1" fillId="0" borderId="0" xfId="0" applyNumberFormat="1" applyFont="1"/>
    <xf numFmtId="37" fontId="1" fillId="0" borderId="2" xfId="1" applyNumberFormat="1" applyFont="1" applyFill="1" applyBorder="1"/>
    <xf numFmtId="3" fontId="1" fillId="0" borderId="2" xfId="0" applyNumberFormat="1" applyFont="1" applyFill="1" applyBorder="1"/>
    <xf numFmtId="165" fontId="1" fillId="0" borderId="2" xfId="1" applyNumberFormat="1" applyFont="1" applyBorder="1"/>
    <xf numFmtId="165" fontId="1" fillId="0" borderId="0" xfId="1" applyNumberFormat="1" applyFont="1" applyBorder="1"/>
    <xf numFmtId="0" fontId="1" fillId="0" borderId="5" xfId="0" applyFont="1" applyBorder="1" applyAlignment="1">
      <alignment horizontal="center"/>
    </xf>
    <xf numFmtId="37" fontId="1" fillId="0" borderId="3" xfId="1" applyNumberFormat="1" applyFont="1" applyBorder="1"/>
    <xf numFmtId="10" fontId="1" fillId="0" borderId="17" xfId="0" applyNumberFormat="1" applyFont="1" applyBorder="1"/>
    <xf numFmtId="3" fontId="1" fillId="0" borderId="3" xfId="0" applyNumberFormat="1" applyFont="1" applyFill="1" applyBorder="1"/>
    <xf numFmtId="3" fontId="1" fillId="0" borderId="3" xfId="0" applyNumberFormat="1" applyFont="1" applyBorder="1"/>
    <xf numFmtId="10" fontId="1" fillId="0" borderId="4" xfId="0" applyNumberFormat="1" applyFont="1" applyBorder="1"/>
    <xf numFmtId="3" fontId="1" fillId="0" borderId="11" xfId="0" applyNumberFormat="1" applyFont="1" applyFill="1" applyBorder="1"/>
    <xf numFmtId="10" fontId="1" fillId="0" borderId="6" xfId="0" applyNumberFormat="1" applyFont="1" applyBorder="1"/>
    <xf numFmtId="37" fontId="1" fillId="0" borderId="12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1" applyNumberFormat="1" applyFont="1"/>
    <xf numFmtId="5" fontId="1" fillId="0" borderId="0" xfId="0" applyNumberFormat="1" applyFont="1"/>
    <xf numFmtId="0" fontId="2" fillId="0" borderId="0" xfId="0" applyFont="1" applyAlignment="1">
      <alignment horizontal="right"/>
    </xf>
    <xf numFmtId="6" fontId="1" fillId="0" borderId="0" xfId="0" applyNumberFormat="1" applyFont="1"/>
    <xf numFmtId="10" fontId="2" fillId="0" borderId="0" xfId="0" applyNumberFormat="1" applyFont="1"/>
    <xf numFmtId="10" fontId="1" fillId="0" borderId="0" xfId="0" applyNumberFormat="1" applyFont="1" applyFill="1"/>
    <xf numFmtId="3" fontId="1" fillId="0" borderId="0" xfId="0" applyNumberFormat="1" applyFont="1" applyFill="1"/>
    <xf numFmtId="6" fontId="2" fillId="0" borderId="0" xfId="0" applyNumberFormat="1" applyFont="1" applyFill="1" applyAlignment="1">
      <alignment horizontal="left"/>
    </xf>
    <xf numFmtId="6" fontId="1" fillId="0" borderId="0" xfId="0" applyNumberFormat="1" applyFont="1" applyFill="1" applyAlignment="1">
      <alignment horizontal="left"/>
    </xf>
    <xf numFmtId="6" fontId="2" fillId="2" borderId="0" xfId="0" applyNumberFormat="1" applyFont="1" applyFill="1" applyAlignment="1">
      <alignment horizontal="left"/>
    </xf>
    <xf numFmtId="6" fontId="1" fillId="2" borderId="0" xfId="0" applyNumberFormat="1" applyFont="1" applyFill="1" applyAlignment="1">
      <alignment horizontal="left"/>
    </xf>
    <xf numFmtId="10" fontId="2" fillId="2" borderId="0" xfId="0" applyNumberFormat="1" applyFont="1" applyFill="1"/>
    <xf numFmtId="3" fontId="1" fillId="2" borderId="0" xfId="0" applyNumberFormat="1" applyFont="1" applyFill="1"/>
    <xf numFmtId="0" fontId="2" fillId="2" borderId="0" xfId="0" applyFont="1" applyFill="1"/>
    <xf numFmtId="0" fontId="1" fillId="2" borderId="0" xfId="0" applyFont="1" applyFill="1"/>
    <xf numFmtId="39" fontId="2" fillId="0" borderId="12" xfId="0" applyNumberFormat="1" applyFont="1" applyBorder="1" applyAlignment="1">
      <alignment horizontal="center"/>
    </xf>
    <xf numFmtId="4" fontId="1" fillId="0" borderId="24" xfId="0" applyNumberFormat="1" applyFont="1" applyBorder="1"/>
    <xf numFmtId="4" fontId="1" fillId="0" borderId="23" xfId="0" applyNumberFormat="1" applyFont="1" applyBorder="1"/>
    <xf numFmtId="41" fontId="1" fillId="0" borderId="2" xfId="0" applyNumberFormat="1" applyFont="1" applyBorder="1"/>
    <xf numFmtId="10" fontId="1" fillId="0" borderId="23" xfId="0" applyNumberFormat="1" applyFont="1" applyBorder="1"/>
    <xf numFmtId="41" fontId="1" fillId="0" borderId="2" xfId="0" applyNumberFormat="1" applyFont="1" applyFill="1" applyBorder="1"/>
    <xf numFmtId="41" fontId="1" fillId="0" borderId="3" xfId="0" applyNumberFormat="1" applyFont="1" applyBorder="1"/>
    <xf numFmtId="10" fontId="1" fillId="0" borderId="34" xfId="0" applyNumberFormat="1" applyFont="1" applyFill="1" applyBorder="1"/>
    <xf numFmtId="41" fontId="1" fillId="0" borderId="0" xfId="0" applyNumberFormat="1" applyFont="1"/>
    <xf numFmtId="5" fontId="1" fillId="0" borderId="0" xfId="2" applyNumberFormat="1" applyFont="1"/>
    <xf numFmtId="2" fontId="1" fillId="0" borderId="0" xfId="0" applyNumberFormat="1" applyFont="1"/>
    <xf numFmtId="6" fontId="2" fillId="0" borderId="0" xfId="0" applyNumberFormat="1" applyFont="1"/>
    <xf numFmtId="3" fontId="2" fillId="0" borderId="0" xfId="0" applyNumberFormat="1" applyFont="1"/>
    <xf numFmtId="39" fontId="1" fillId="2" borderId="0" xfId="0" applyNumberFormat="1" applyFont="1" applyFill="1"/>
    <xf numFmtId="10" fontId="2" fillId="2" borderId="0" xfId="0" applyNumberFormat="1" applyFont="1" applyFill="1" applyBorder="1"/>
    <xf numFmtId="3" fontId="2" fillId="2" borderId="0" xfId="0" applyNumberFormat="1" applyFont="1" applyFill="1"/>
    <xf numFmtId="37" fontId="2" fillId="0" borderId="0" xfId="0" applyNumberFormat="1" applyFont="1"/>
    <xf numFmtId="3" fontId="2" fillId="0" borderId="0" xfId="0" applyNumberFormat="1" applyFont="1" applyFill="1"/>
    <xf numFmtId="0" fontId="1" fillId="0" borderId="0" xfId="0" applyFont="1" applyFill="1" applyBorder="1"/>
    <xf numFmtId="39" fontId="2" fillId="0" borderId="0" xfId="0" applyNumberFormat="1" applyFont="1" applyFill="1"/>
    <xf numFmtId="0" fontId="2" fillId="0" borderId="0" xfId="0" applyFont="1" applyFill="1" applyAlignment="1">
      <alignment horizontal="right"/>
    </xf>
    <xf numFmtId="6" fontId="1" fillId="0" borderId="0" xfId="0" applyNumberFormat="1" applyFont="1" applyFill="1"/>
    <xf numFmtId="37" fontId="2" fillId="2" borderId="0" xfId="0" applyNumberFormat="1" applyFont="1" applyFill="1"/>
    <xf numFmtId="37" fontId="1" fillId="2" borderId="0" xfId="0" applyNumberFormat="1" applyFont="1" applyFill="1"/>
    <xf numFmtId="10" fontId="2" fillId="0" borderId="0" xfId="0" applyNumberFormat="1" applyFont="1" applyBorder="1"/>
    <xf numFmtId="8" fontId="1" fillId="0" borderId="0" xfId="0" applyNumberFormat="1" applyFont="1" applyFill="1"/>
    <xf numFmtId="41" fontId="1" fillId="0" borderId="0" xfId="0" applyNumberFormat="1" applyFont="1" applyFill="1"/>
    <xf numFmtId="3" fontId="1" fillId="0" borderId="0" xfId="0" applyNumberFormat="1" applyFont="1" applyAlignment="1">
      <alignment horizontal="center"/>
    </xf>
    <xf numFmtId="0" fontId="1" fillId="0" borderId="24" xfId="0" applyFont="1" applyBorder="1"/>
    <xf numFmtId="43" fontId="1" fillId="0" borderId="4" xfId="0" applyNumberFormat="1" applyFont="1" applyFill="1" applyBorder="1"/>
    <xf numFmtId="10" fontId="2" fillId="0" borderId="0" xfId="0" applyNumberFormat="1" applyFont="1" applyFill="1" applyBorder="1"/>
    <xf numFmtId="10" fontId="1" fillId="0" borderId="0" xfId="0" applyNumberFormat="1" applyFont="1" applyFill="1" applyBorder="1"/>
    <xf numFmtId="9" fontId="1" fillId="0" borderId="0" xfId="0" applyNumberFormat="1" applyFont="1"/>
    <xf numFmtId="0" fontId="2" fillId="0" borderId="6" xfId="0" applyFont="1" applyBorder="1" applyAlignment="1">
      <alignment horizontal="center"/>
    </xf>
    <xf numFmtId="0" fontId="13" fillId="0" borderId="0" xfId="0" applyFont="1"/>
    <xf numFmtId="0" fontId="13" fillId="0" borderId="0" xfId="0" quotePrefix="1" applyFont="1"/>
    <xf numFmtId="14" fontId="1" fillId="0" borderId="0" xfId="0" applyNumberFormat="1" applyFont="1"/>
    <xf numFmtId="42" fontId="2" fillId="0" borderId="0" xfId="0" applyNumberFormat="1" applyFont="1" applyFill="1"/>
    <xf numFmtId="42" fontId="2" fillId="2" borderId="0" xfId="0" applyNumberFormat="1" applyFont="1" applyFill="1"/>
    <xf numFmtId="5" fontId="1" fillId="0" borderId="0" xfId="0" applyNumberFormat="1" applyFont="1" applyFill="1"/>
    <xf numFmtId="37" fontId="2" fillId="0" borderId="0" xfId="0" applyNumberFormat="1" applyFont="1" applyFill="1"/>
    <xf numFmtId="164" fontId="1" fillId="0" borderId="0" xfId="0" applyNumberFormat="1" applyFont="1" applyFill="1"/>
    <xf numFmtId="6" fontId="2" fillId="0" borderId="0" xfId="3" applyNumberFormat="1" applyFont="1" applyFill="1" applyAlignment="1">
      <alignment horizontal="left"/>
    </xf>
    <xf numFmtId="6" fontId="2" fillId="2" borderId="0" xfId="3" applyNumberFormat="1" applyFont="1" applyFill="1" applyAlignment="1">
      <alignment horizontal="left"/>
    </xf>
    <xf numFmtId="8" fontId="1" fillId="2" borderId="0" xfId="0" applyNumberFormat="1" applyFont="1" applyFill="1"/>
    <xf numFmtId="8" fontId="1" fillId="0" borderId="0" xfId="0" applyNumberFormat="1" applyFont="1"/>
    <xf numFmtId="0" fontId="13" fillId="0" borderId="0" xfId="0" applyFont="1" applyFill="1"/>
    <xf numFmtId="4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/>
    <xf numFmtId="16" fontId="2" fillId="0" borderId="0" xfId="0" applyNumberFormat="1" applyFont="1" applyFill="1"/>
    <xf numFmtId="0" fontId="2" fillId="0" borderId="0" xfId="0" quotePrefix="1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5" xfId="0" applyFill="1" applyBorder="1"/>
    <xf numFmtId="43" fontId="0" fillId="0" borderId="26" xfId="0" applyNumberFormat="1" applyFill="1" applyBorder="1"/>
    <xf numFmtId="0" fontId="0" fillId="0" borderId="25" xfId="0" applyFill="1" applyBorder="1" applyAlignment="1">
      <alignment horizontal="center"/>
    </xf>
    <xf numFmtId="0" fontId="0" fillId="0" borderId="26" xfId="0" applyFill="1" applyBorder="1"/>
    <xf numFmtId="0" fontId="2" fillId="0" borderId="2" xfId="0" applyFont="1" applyFill="1" applyBorder="1"/>
    <xf numFmtId="43" fontId="8" fillId="0" borderId="16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3" fontId="8" fillId="0" borderId="0" xfId="0" quotePrefix="1" applyNumberFormat="1" applyFont="1" applyFill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0" fontId="2" fillId="0" borderId="3" xfId="0" applyFont="1" applyFill="1" applyBorder="1"/>
    <xf numFmtId="43" fontId="2" fillId="0" borderId="17" xfId="0" applyNumberFormat="1" applyFont="1" applyFill="1" applyBorder="1"/>
    <xf numFmtId="0" fontId="0" fillId="0" borderId="3" xfId="0" applyFill="1" applyBorder="1"/>
    <xf numFmtId="0" fontId="0" fillId="0" borderId="17" xfId="0" applyFill="1" applyBorder="1"/>
    <xf numFmtId="43" fontId="0" fillId="0" borderId="16" xfId="0" applyNumberFormat="1" applyFill="1" applyBorder="1"/>
    <xf numFmtId="0" fontId="0" fillId="0" borderId="16" xfId="0" applyFill="1" applyBorder="1"/>
    <xf numFmtId="0" fontId="4" fillId="0" borderId="2" xfId="0" applyFont="1" applyFill="1" applyBorder="1"/>
    <xf numFmtId="10" fontId="0" fillId="0" borderId="16" xfId="0" applyNumberFormat="1" applyFill="1" applyBorder="1"/>
    <xf numFmtId="0" fontId="1" fillId="0" borderId="2" xfId="0" applyFont="1" applyFill="1" applyBorder="1"/>
    <xf numFmtId="0" fontId="8" fillId="0" borderId="27" xfId="0" applyFont="1" applyFill="1" applyBorder="1" applyAlignment="1">
      <alignment horizontal="center"/>
    </xf>
    <xf numFmtId="10" fontId="0" fillId="0" borderId="29" xfId="0" applyNumberFormat="1" applyFill="1" applyBorder="1"/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ill="1"/>
    <xf numFmtId="40" fontId="0" fillId="0" borderId="0" xfId="0" applyNumberFormat="1" applyFill="1"/>
    <xf numFmtId="43" fontId="0" fillId="0" borderId="4" xfId="0" applyNumberFormat="1" applyFill="1" applyBorder="1"/>
    <xf numFmtId="0" fontId="0" fillId="0" borderId="0" xfId="0" applyFill="1" applyAlignment="1">
      <alignment horizontal="right"/>
    </xf>
    <xf numFmtId="39" fontId="0" fillId="0" borderId="0" xfId="0" applyNumberFormat="1" applyFill="1" applyAlignment="1">
      <alignment horizontal="right"/>
    </xf>
    <xf numFmtId="40" fontId="2" fillId="0" borderId="0" xfId="0" applyNumberFormat="1" applyFont="1" applyFill="1"/>
    <xf numFmtId="0" fontId="1" fillId="0" borderId="0" xfId="0" applyFont="1" applyFill="1" applyAlignment="1">
      <alignment horizontal="right"/>
    </xf>
    <xf numFmtId="43" fontId="7" fillId="0" borderId="0" xfId="0" applyNumberFormat="1" applyFont="1" applyFill="1"/>
    <xf numFmtId="40" fontId="0" fillId="0" borderId="4" xfId="0" applyNumberFormat="1" applyFill="1" applyBorder="1"/>
    <xf numFmtId="4" fontId="0" fillId="0" borderId="0" xfId="0" applyNumberForma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43" fontId="2" fillId="0" borderId="4" xfId="0" applyNumberFormat="1" applyFont="1" applyFill="1" applyBorder="1"/>
    <xf numFmtId="10" fontId="1" fillId="0" borderId="6" xfId="0" applyNumberFormat="1" applyFont="1" applyFill="1" applyBorder="1"/>
    <xf numFmtId="39" fontId="1" fillId="0" borderId="0" xfId="0" applyNumberFormat="1" applyFont="1" applyBorder="1"/>
    <xf numFmtId="39" fontId="1" fillId="0" borderId="8" xfId="0" applyNumberFormat="1" applyFont="1" applyBorder="1"/>
    <xf numFmtId="39" fontId="1" fillId="0" borderId="23" xfId="0" applyNumberFormat="1" applyFont="1" applyBorder="1"/>
    <xf numFmtId="39" fontId="1" fillId="0" borderId="6" xfId="0" applyNumberFormat="1" applyFont="1" applyBorder="1"/>
    <xf numFmtId="3" fontId="1" fillId="0" borderId="11" xfId="0" applyNumberFormat="1" applyFont="1" applyBorder="1"/>
    <xf numFmtId="42" fontId="2" fillId="0" borderId="0" xfId="0" applyNumberFormat="1" applyFont="1"/>
    <xf numFmtId="37" fontId="2" fillId="0" borderId="0" xfId="0" applyNumberFormat="1" applyFont="1" applyBorder="1"/>
    <xf numFmtId="37" fontId="1" fillId="0" borderId="8" xfId="0" applyNumberFormat="1" applyFont="1" applyFill="1" applyBorder="1"/>
    <xf numFmtId="37" fontId="1" fillId="0" borderId="8" xfId="0" applyNumberFormat="1" applyFont="1" applyBorder="1"/>
    <xf numFmtId="0" fontId="2" fillId="3" borderId="0" xfId="0" applyFont="1" applyFill="1" applyBorder="1"/>
    <xf numFmtId="0" fontId="2" fillId="2" borderId="0" xfId="0" applyFont="1" applyFill="1" applyBorder="1"/>
    <xf numFmtId="5" fontId="2" fillId="0" borderId="0" xfId="0" applyNumberFormat="1" applyFont="1"/>
    <xf numFmtId="9" fontId="0" fillId="0" borderId="0" xfId="7" applyFont="1"/>
    <xf numFmtId="167" fontId="0" fillId="0" borderId="0" xfId="7" applyNumberFormat="1" applyFont="1"/>
    <xf numFmtId="168" fontId="2" fillId="0" borderId="0" xfId="0" applyNumberFormat="1" applyFont="1"/>
    <xf numFmtId="168" fontId="15" fillId="0" borderId="0" xfId="0" applyNumberFormat="1" applyFont="1" applyAlignment="1">
      <alignment vertical="center"/>
    </xf>
    <xf numFmtId="168" fontId="15" fillId="0" borderId="0" xfId="0" applyNumberFormat="1" applyFont="1"/>
    <xf numFmtId="168" fontId="0" fillId="0" borderId="0" xfId="0" applyNumberFormat="1"/>
    <xf numFmtId="165" fontId="0" fillId="0" borderId="0" xfId="1" applyNumberFormat="1" applyFont="1"/>
    <xf numFmtId="49" fontId="2" fillId="0" borderId="4" xfId="1" applyNumberFormat="1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9" fontId="12" fillId="0" borderId="0" xfId="7" applyFont="1" applyAlignment="1">
      <alignment horizontal="center"/>
    </xf>
    <xf numFmtId="168" fontId="1" fillId="0" borderId="0" xfId="0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1" fontId="0" fillId="0" borderId="0" xfId="7" applyNumberFormat="1" applyFont="1" applyAlignment="1">
      <alignment horizontal="center"/>
    </xf>
    <xf numFmtId="168" fontId="1" fillId="0" borderId="0" xfId="0" applyNumberFormat="1" applyFont="1" applyAlignment="1">
      <alignment horizontal="right"/>
    </xf>
    <xf numFmtId="43" fontId="13" fillId="0" borderId="0" xfId="0" applyNumberFormat="1" applyFont="1" applyFill="1"/>
    <xf numFmtId="3" fontId="0" fillId="0" borderId="4" xfId="0" applyNumberFormat="1" applyBorder="1"/>
    <xf numFmtId="165" fontId="0" fillId="0" borderId="4" xfId="1" applyNumberFormat="1" applyFont="1" applyBorder="1"/>
    <xf numFmtId="37" fontId="1" fillId="0" borderId="0" xfId="2" applyNumberFormat="1" applyFont="1" applyFill="1"/>
    <xf numFmtId="0" fontId="2" fillId="0" borderId="0" xfId="3" applyFont="1" applyFill="1" applyAlignment="1">
      <alignment horizontal="center"/>
    </xf>
    <xf numFmtId="37" fontId="1" fillId="0" borderId="0" xfId="5" applyNumberFormat="1" applyFont="1" applyBorder="1"/>
    <xf numFmtId="4" fontId="1" fillId="0" borderId="0" xfId="3" applyNumberFormat="1" applyFill="1" applyBorder="1"/>
    <xf numFmtId="4" fontId="1" fillId="0" borderId="15" xfId="3" applyNumberFormat="1" applyFont="1" applyFill="1" applyBorder="1"/>
    <xf numFmtId="39" fontId="1" fillId="0" borderId="4" xfId="3" applyNumberFormat="1" applyFill="1" applyBorder="1"/>
    <xf numFmtId="4" fontId="1" fillId="0" borderId="0" xfId="3" applyNumberFormat="1" applyFill="1"/>
    <xf numFmtId="43" fontId="1" fillId="0" borderId="0" xfId="3" applyNumberFormat="1" applyFill="1" applyAlignment="1">
      <alignment horizontal="right"/>
    </xf>
    <xf numFmtId="38" fontId="1" fillId="2" borderId="0" xfId="0" applyNumberFormat="1" applyFont="1" applyFill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165" fontId="0" fillId="2" borderId="0" xfId="0" applyNumberFormat="1" applyFill="1"/>
    <xf numFmtId="3" fontId="0" fillId="2" borderId="0" xfId="0" applyNumberFormat="1" applyFill="1"/>
    <xf numFmtId="168" fontId="16" fillId="0" borderId="0" xfId="0" applyNumberFormat="1" applyFont="1"/>
    <xf numFmtId="0" fontId="6" fillId="0" borderId="0" xfId="0" applyFont="1"/>
    <xf numFmtId="9" fontId="6" fillId="0" borderId="0" xfId="7" applyFont="1"/>
    <xf numFmtId="0" fontId="6" fillId="0" borderId="0" xfId="0" applyFont="1" applyFill="1"/>
    <xf numFmtId="49" fontId="2" fillId="0" borderId="4" xfId="1" applyNumberFormat="1" applyFont="1" applyFill="1" applyBorder="1" applyAlignment="1">
      <alignment horizontal="center"/>
    </xf>
    <xf numFmtId="165" fontId="0" fillId="0" borderId="0" xfId="1" applyNumberFormat="1" applyFont="1" applyFill="1"/>
    <xf numFmtId="165" fontId="0" fillId="0" borderId="4" xfId="1" applyNumberFormat="1" applyFont="1" applyFill="1" applyBorder="1"/>
    <xf numFmtId="165" fontId="0" fillId="0" borderId="0" xfId="0" applyNumberFormat="1" applyFill="1"/>
    <xf numFmtId="37" fontId="3" fillId="0" borderId="0" xfId="0" applyNumberFormat="1" applyFont="1" applyFill="1" applyBorder="1"/>
    <xf numFmtId="37" fontId="0" fillId="0" borderId="0" xfId="0" applyNumberFormat="1" applyFill="1" applyBorder="1"/>
    <xf numFmtId="10" fontId="0" fillId="0" borderId="0" xfId="0" applyNumberFormat="1" applyFill="1" applyBorder="1"/>
    <xf numFmtId="37" fontId="0" fillId="0" borderId="19" xfId="0" applyNumberFormat="1" applyFill="1" applyBorder="1"/>
    <xf numFmtId="10" fontId="0" fillId="0" borderId="0" xfId="0" applyNumberFormat="1" applyFill="1"/>
    <xf numFmtId="37" fontId="1" fillId="0" borderId="11" xfId="0" applyNumberFormat="1" applyFont="1" applyBorder="1"/>
    <xf numFmtId="0" fontId="2" fillId="0" borderId="6" xfId="0" applyFont="1" applyBorder="1" applyAlignment="1">
      <alignment horizontal="center"/>
    </xf>
    <xf numFmtId="0" fontId="1" fillId="0" borderId="4" xfId="0" applyFont="1" applyFill="1" applyBorder="1"/>
    <xf numFmtId="4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31" xfId="0" applyFill="1" applyBorder="1"/>
    <xf numFmtId="168" fontId="17" fillId="0" borderId="0" xfId="8" applyNumberFormat="1"/>
    <xf numFmtId="168" fontId="15" fillId="2" borderId="0" xfId="0" applyNumberFormat="1" applyFont="1" applyFill="1"/>
    <xf numFmtId="167" fontId="0" fillId="2" borderId="0" xfId="7" applyNumberFormat="1" applyFont="1" applyFill="1"/>
    <xf numFmtId="4" fontId="0" fillId="0" borderId="4" xfId="0" applyNumberForma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10" fontId="1" fillId="0" borderId="12" xfId="0" applyNumberFormat="1" applyFont="1" applyBorder="1"/>
    <xf numFmtId="4" fontId="2" fillId="0" borderId="11" xfId="0" applyNumberFormat="1" applyFont="1" applyBorder="1"/>
    <xf numFmtId="169" fontId="0" fillId="0" borderId="31" xfId="0" applyNumberFormat="1" applyFill="1" applyBorder="1"/>
    <xf numFmtId="0" fontId="0" fillId="3" borderId="0" xfId="0" applyFill="1"/>
    <xf numFmtId="0" fontId="1" fillId="3" borderId="0" xfId="0" applyFont="1" applyFill="1"/>
    <xf numFmtId="4" fontId="0" fillId="3" borderId="0" xfId="0" applyNumberFormat="1" applyFill="1"/>
    <xf numFmtId="43" fontId="0" fillId="3" borderId="0" xfId="0" applyNumberFormat="1" applyFill="1"/>
    <xf numFmtId="43" fontId="1" fillId="3" borderId="0" xfId="0" applyNumberFormat="1" applyFont="1" applyFill="1"/>
    <xf numFmtId="0" fontId="2" fillId="3" borderId="0" xfId="0" applyFont="1" applyFill="1" applyAlignment="1">
      <alignment horizontal="left"/>
    </xf>
    <xf numFmtId="39" fontId="0" fillId="0" borderId="0" xfId="0" applyNumberFormat="1"/>
    <xf numFmtId="16" fontId="2" fillId="2" borderId="0" xfId="0" quotePrefix="1" applyNumberFormat="1" applyFont="1" applyFill="1"/>
    <xf numFmtId="0" fontId="0" fillId="0" borderId="0" xfId="0" quotePrefix="1"/>
    <xf numFmtId="0" fontId="1" fillId="0" borderId="0" xfId="0" quotePrefix="1" applyFont="1"/>
    <xf numFmtId="39" fontId="0" fillId="2" borderId="0" xfId="0" applyNumberFormat="1" applyFill="1"/>
    <xf numFmtId="37" fontId="0" fillId="2" borderId="0" xfId="0" applyNumberFormat="1" applyFill="1"/>
    <xf numFmtId="37" fontId="1" fillId="2" borderId="0" xfId="2" applyNumberFormat="1" applyFont="1" applyFill="1"/>
    <xf numFmtId="37" fontId="0" fillId="3" borderId="0" xfId="0" applyNumberFormat="1" applyFill="1"/>
    <xf numFmtId="37" fontId="1" fillId="3" borderId="0" xfId="2" applyNumberFormat="1" applyFont="1" applyFill="1"/>
    <xf numFmtId="37" fontId="1" fillId="3" borderId="0" xfId="0" applyNumberFormat="1" applyFont="1" applyFill="1"/>
    <xf numFmtId="43" fontId="1" fillId="2" borderId="0" xfId="0" applyNumberFormat="1" applyFont="1" applyFill="1"/>
    <xf numFmtId="10" fontId="0" fillId="2" borderId="16" xfId="0" applyNumberFormat="1" applyFill="1" applyBorder="1"/>
    <xf numFmtId="10" fontId="0" fillId="3" borderId="16" xfId="0" applyNumberFormat="1" applyFill="1" applyBorder="1"/>
    <xf numFmtId="39" fontId="2" fillId="0" borderId="0" xfId="0" applyNumberFormat="1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9">
    <cellStyle name="Comma" xfId="1" builtinId="3"/>
    <cellStyle name="Comma 2" xfId="5"/>
    <cellStyle name="Currency" xfId="2" builtinId="4"/>
    <cellStyle name="Hyperlink" xfId="8" builtinId="8"/>
    <cellStyle name="Normal" xfId="0" builtinId="0"/>
    <cellStyle name="Normal 3" xfId="3"/>
    <cellStyle name="Normal 4" xfId="4"/>
    <cellStyle name="Normal 4 2" xfId="6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Comparison of Budget vs Actual FY 15-16</a:t>
            </a:r>
            <a:endParaRPr lang="en-US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997494072991394"/>
          <c:y val="0.20347440944881889"/>
          <c:w val="0.65606594027540865"/>
          <c:h val="0.70369386118402777"/>
        </c:manualLayout>
      </c:layout>
      <c:lineChart>
        <c:grouping val="standard"/>
        <c:varyColors val="0"/>
        <c:ser>
          <c:idx val="0"/>
          <c:order val="0"/>
          <c:tx>
            <c:strRef>
              <c:f>Detail!$B$3</c:f>
              <c:strCache>
                <c:ptCount val="1"/>
                <c:pt idx="0">
                  <c:v>BUDGET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</c:spPr>
          </c:marker>
          <c:cat>
            <c:strRef>
              <c:f>Detail!$A$4:$A$15</c:f>
              <c:strCache>
                <c:ptCount val="12"/>
                <c:pt idx="0">
                  <c:v>JUL</c:v>
                </c:pt>
                <c:pt idx="1">
                  <c:v>AUG 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 </c:v>
                </c:pt>
                <c:pt idx="11">
                  <c:v>JUN</c:v>
                </c:pt>
              </c:strCache>
            </c:strRef>
          </c:cat>
          <c:val>
            <c:numRef>
              <c:f>Detail!$B$4:$B$15</c:f>
              <c:numCache>
                <c:formatCode>#,##0</c:formatCode>
                <c:ptCount val="12"/>
                <c:pt idx="0">
                  <c:v>6755595.6966815004</c:v>
                </c:pt>
                <c:pt idx="1">
                  <c:v>7491374.7904442549</c:v>
                </c:pt>
                <c:pt idx="2">
                  <c:v>8426835.4805995505</c:v>
                </c:pt>
                <c:pt idx="3">
                  <c:v>7768939.6586006992</c:v>
                </c:pt>
                <c:pt idx="4">
                  <c:v>7894105.998081754</c:v>
                </c:pt>
                <c:pt idx="5">
                  <c:v>7535011.0533468444</c:v>
                </c:pt>
                <c:pt idx="6">
                  <c:v>6863107.5212123664</c:v>
                </c:pt>
                <c:pt idx="7">
                  <c:v>8671133.258094728</c:v>
                </c:pt>
                <c:pt idx="8">
                  <c:v>6244814.579417618</c:v>
                </c:pt>
                <c:pt idx="9">
                  <c:v>6127203.0325774821</c:v>
                </c:pt>
                <c:pt idx="10">
                  <c:v>7439316.5727235992</c:v>
                </c:pt>
                <c:pt idx="11">
                  <c:v>7813062.3582196226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Detail!$C$3</c:f>
              <c:strCache>
                <c:ptCount val="1"/>
                <c:pt idx="0">
                  <c:v>ACTUAL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Detail!$A$4:$A$15</c:f>
              <c:strCache>
                <c:ptCount val="12"/>
                <c:pt idx="0">
                  <c:v>JUL</c:v>
                </c:pt>
                <c:pt idx="1">
                  <c:v>AUG 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 </c:v>
                </c:pt>
                <c:pt idx="11">
                  <c:v>JUN</c:v>
                </c:pt>
              </c:strCache>
            </c:strRef>
          </c:cat>
          <c:val>
            <c:numRef>
              <c:f>Detail!$C$4:$C$15</c:f>
              <c:numCache>
                <c:formatCode>#,##0</c:formatCode>
                <c:ptCount val="12"/>
                <c:pt idx="0">
                  <c:v>7774938.9000000004</c:v>
                </c:pt>
                <c:pt idx="1">
                  <c:v>8444283.2100000009</c:v>
                </c:pt>
                <c:pt idx="2">
                  <c:v>8559891.2699999996</c:v>
                </c:pt>
                <c:pt idx="3">
                  <c:v>7993372.5999999996</c:v>
                </c:pt>
                <c:pt idx="4">
                  <c:v>8073909</c:v>
                </c:pt>
                <c:pt idx="5">
                  <c:v>7878332.79</c:v>
                </c:pt>
                <c:pt idx="6">
                  <c:v>6903342.9100000001</c:v>
                </c:pt>
                <c:pt idx="7">
                  <c:v>8335574.4900000012</c:v>
                </c:pt>
                <c:pt idx="8">
                  <c:v>6909944.4500000002</c:v>
                </c:pt>
                <c:pt idx="9">
                  <c:v>6954678.5199999996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5440"/>
        <c:axId val="44513472"/>
      </c:lineChart>
      <c:catAx>
        <c:axId val="59645440"/>
        <c:scaling>
          <c:orientation val="minMax"/>
        </c:scaling>
        <c:delete val="0"/>
        <c:axPos val="b"/>
        <c:majorTickMark val="out"/>
        <c:minorTickMark val="none"/>
        <c:tickLblPos val="nextTo"/>
        <c:crossAx val="44513472"/>
        <c:crosses val="autoZero"/>
        <c:auto val="1"/>
        <c:lblAlgn val="ctr"/>
        <c:lblOffset val="100"/>
        <c:noMultiLvlLbl val="0"/>
      </c:catAx>
      <c:valAx>
        <c:axId val="44513472"/>
        <c:scaling>
          <c:orientation val="minMax"/>
          <c:min val="50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Revenue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59645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Comparison of 2 YRS to</a:t>
            </a:r>
            <a:r>
              <a:rPr lang="en-US" baseline="0"/>
              <a:t> B</a:t>
            </a:r>
            <a:r>
              <a:rPr lang="en-US"/>
              <a:t>enchmark - Cash Basis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Detail!$B$19</c:f>
              <c:strCache>
                <c:ptCount val="1"/>
                <c:pt idx="0">
                  <c:v>2007/08 Benchmark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Detail!$A$20:$A$31</c:f>
              <c:strCache>
                <c:ptCount val="12"/>
                <c:pt idx="0">
                  <c:v>JUL</c:v>
                </c:pt>
                <c:pt idx="1">
                  <c:v>AUG 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 </c:v>
                </c:pt>
                <c:pt idx="11">
                  <c:v>JUN</c:v>
                </c:pt>
              </c:strCache>
            </c:strRef>
          </c:cat>
          <c:val>
            <c:numRef>
              <c:f>Detail!$B$20:$B$31</c:f>
              <c:numCache>
                <c:formatCode>#,##0_);\(#,##0\)</c:formatCode>
                <c:ptCount val="12"/>
                <c:pt idx="0">
                  <c:v>7375728.8599999994</c:v>
                </c:pt>
                <c:pt idx="1">
                  <c:v>8237747</c:v>
                </c:pt>
                <c:pt idx="2">
                  <c:v>7534469.4100000001</c:v>
                </c:pt>
                <c:pt idx="3">
                  <c:v>7792051.7299999986</c:v>
                </c:pt>
                <c:pt idx="4">
                  <c:v>7767988.7200000007</c:v>
                </c:pt>
                <c:pt idx="5">
                  <c:v>7385740.3900000006</c:v>
                </c:pt>
                <c:pt idx="6">
                  <c:v>6986767.4499999993</c:v>
                </c:pt>
                <c:pt idx="7">
                  <c:v>8725120.6099999994</c:v>
                </c:pt>
                <c:pt idx="8">
                  <c:v>6680180.2399999993</c:v>
                </c:pt>
                <c:pt idx="9">
                  <c:v>5957049.2699999996</c:v>
                </c:pt>
                <c:pt idx="10">
                  <c:v>6903178</c:v>
                </c:pt>
                <c:pt idx="11">
                  <c:v>7201011.6699999999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Detail!$C$19</c:f>
              <c:strCache>
                <c:ptCount val="1"/>
                <c:pt idx="0">
                  <c:v>2014/2015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</c:spPr>
          </c:marker>
          <c:cat>
            <c:strRef>
              <c:f>Detail!$A$20:$A$31</c:f>
              <c:strCache>
                <c:ptCount val="12"/>
                <c:pt idx="0">
                  <c:v>JUL</c:v>
                </c:pt>
                <c:pt idx="1">
                  <c:v>AUG 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 </c:v>
                </c:pt>
                <c:pt idx="11">
                  <c:v>JUN</c:v>
                </c:pt>
              </c:strCache>
            </c:strRef>
          </c:cat>
          <c:val>
            <c:numRef>
              <c:f>Detail!$C$20:$C$31</c:f>
              <c:numCache>
                <c:formatCode>#,##0_);\(#,##0\)</c:formatCode>
                <c:ptCount val="12"/>
                <c:pt idx="0">
                  <c:v>6798971.6200000001</c:v>
                </c:pt>
                <c:pt idx="1">
                  <c:v>7539474.96</c:v>
                </c:pt>
                <c:pt idx="2">
                  <c:v>8480942</c:v>
                </c:pt>
                <c:pt idx="3">
                  <c:v>7818822</c:v>
                </c:pt>
                <c:pt idx="4">
                  <c:v>7944792</c:v>
                </c:pt>
                <c:pt idx="5">
                  <c:v>7583391.3999999994</c:v>
                </c:pt>
                <c:pt idx="6">
                  <c:v>6907173.75</c:v>
                </c:pt>
                <c:pt idx="7">
                  <c:v>8726808.3499999996</c:v>
                </c:pt>
                <c:pt idx="8">
                  <c:v>6284910.9100000001</c:v>
                </c:pt>
                <c:pt idx="9">
                  <c:v>6166544.2100000009</c:v>
                </c:pt>
                <c:pt idx="10">
                  <c:v>7487082.4900000002</c:v>
                </c:pt>
                <c:pt idx="11">
                  <c:v>7863228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Detail!$D$19</c:f>
              <c:strCache>
                <c:ptCount val="1"/>
                <c:pt idx="0">
                  <c:v>2015/2016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cat>
            <c:strRef>
              <c:f>Detail!$A$20:$A$31</c:f>
              <c:strCache>
                <c:ptCount val="12"/>
                <c:pt idx="0">
                  <c:v>JUL</c:v>
                </c:pt>
                <c:pt idx="1">
                  <c:v>AUG 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 </c:v>
                </c:pt>
                <c:pt idx="11">
                  <c:v>JUN</c:v>
                </c:pt>
              </c:strCache>
            </c:strRef>
          </c:cat>
          <c:val>
            <c:numRef>
              <c:f>Detail!$D$20:$D$31</c:f>
              <c:numCache>
                <c:formatCode>#,##0_);\(#,##0\)</c:formatCode>
                <c:ptCount val="12"/>
                <c:pt idx="0">
                  <c:v>7774938.9000000004</c:v>
                </c:pt>
                <c:pt idx="1">
                  <c:v>8444283.2100000009</c:v>
                </c:pt>
                <c:pt idx="2">
                  <c:v>8559891.2699999996</c:v>
                </c:pt>
                <c:pt idx="3">
                  <c:v>7993372.5999999996</c:v>
                </c:pt>
                <c:pt idx="4">
                  <c:v>8073909</c:v>
                </c:pt>
                <c:pt idx="5">
                  <c:v>7878332.79</c:v>
                </c:pt>
                <c:pt idx="6">
                  <c:v>6903342.9100000001</c:v>
                </c:pt>
                <c:pt idx="7">
                  <c:v>8335574.4900000012</c:v>
                </c:pt>
                <c:pt idx="8">
                  <c:v>6909944.4500000002</c:v>
                </c:pt>
                <c:pt idx="9">
                  <c:v>6954678.5199999996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14912"/>
        <c:axId val="45613632"/>
      </c:lineChart>
      <c:catAx>
        <c:axId val="61414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45613632"/>
        <c:crosses val="autoZero"/>
        <c:auto val="1"/>
        <c:lblAlgn val="ctr"/>
        <c:lblOffset val="100"/>
        <c:noMultiLvlLbl val="0"/>
      </c:catAx>
      <c:valAx>
        <c:axId val="45613632"/>
        <c:scaling>
          <c:orientation val="minMax"/>
          <c:max val="9000000"/>
          <c:min val="55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Revenue</a:t>
                </a:r>
              </a:p>
            </c:rich>
          </c:tx>
          <c:layout/>
          <c:overlay val="0"/>
        </c:title>
        <c:numFmt formatCode="#,##0_);\(#,##0\)" sourceLinked="1"/>
        <c:majorTickMark val="none"/>
        <c:minorTickMark val="none"/>
        <c:tickLblPos val="nextTo"/>
        <c:crossAx val="61414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Comparison to</a:t>
            </a:r>
            <a:r>
              <a:rPr lang="en-US" baseline="0"/>
              <a:t> 2008 in 2015 Value-basis $'s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287311032582161E-2"/>
          <c:y val="0.10362612612612612"/>
          <c:w val="0.80258451346732718"/>
          <c:h val="0.84905547279563032"/>
        </c:manualLayout>
      </c:layout>
      <c:lineChart>
        <c:grouping val="standard"/>
        <c:varyColors val="0"/>
        <c:ser>
          <c:idx val="0"/>
          <c:order val="0"/>
          <c:tx>
            <c:strRef>
              <c:f>'Deflated #''s'!$B$14</c:f>
              <c:strCache>
                <c:ptCount val="1"/>
                <c:pt idx="0">
                  <c:v>FY 07-08</c:v>
                </c:pt>
              </c:strCache>
            </c:strRef>
          </c:tx>
          <c:spPr>
            <a:ln w="762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'Deflated #''s'!$A$15:$A$26</c:f>
              <c:strCache>
                <c:ptCount val="12"/>
                <c:pt idx="0">
                  <c:v>JUL</c:v>
                </c:pt>
                <c:pt idx="1">
                  <c:v>AUG 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 </c:v>
                </c:pt>
                <c:pt idx="11">
                  <c:v>JUN</c:v>
                </c:pt>
              </c:strCache>
            </c:strRef>
          </c:cat>
          <c:val>
            <c:numRef>
              <c:f>'Deflated #''s'!$B$15:$B$26</c:f>
              <c:numCache>
                <c:formatCode>_(* #,##0_);_(* \(#,##0\);_(* "-"??_);_(@_)</c:formatCode>
                <c:ptCount val="12"/>
                <c:pt idx="0">
                  <c:v>8440585.3658704739</c:v>
                </c:pt>
                <c:pt idx="1">
                  <c:v>9427055.697915582</c:v>
                </c:pt>
                <c:pt idx="2">
                  <c:v>8622243.7739725634</c:v>
                </c:pt>
                <c:pt idx="3">
                  <c:v>8917014.0403376631</c:v>
                </c:pt>
                <c:pt idx="4">
                  <c:v>8889476.9800796248</c:v>
                </c:pt>
                <c:pt idx="5">
                  <c:v>8452042.291038407</c:v>
                </c:pt>
                <c:pt idx="6">
                  <c:v>7995468.4089634726</c:v>
                </c:pt>
                <c:pt idx="7">
                  <c:v>9984792.9247525055</c:v>
                </c:pt>
                <c:pt idx="8">
                  <c:v>7644618.2669357387</c:v>
                </c:pt>
                <c:pt idx="9">
                  <c:v>6817086.669876771</c:v>
                </c:pt>
                <c:pt idx="10">
                  <c:v>7899810.8947295295</c:v>
                </c:pt>
                <c:pt idx="11">
                  <c:v>8240643.7214483656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'Deflated #''s'!$C$14</c:f>
              <c:strCache>
                <c:ptCount val="1"/>
                <c:pt idx="0">
                  <c:v>FY 08-09</c:v>
                </c:pt>
              </c:strCache>
            </c:strRef>
          </c:tx>
          <c:spPr>
            <a:ln>
              <a:solidFill>
                <a:srgbClr val="00B050">
                  <a:alpha val="30000"/>
                </a:srgbClr>
              </a:solidFill>
            </a:ln>
          </c:spPr>
          <c:marker>
            <c:symbol val="none"/>
          </c:marker>
          <c:cat>
            <c:strRef>
              <c:f>'Deflated #''s'!$A$15:$A$26</c:f>
              <c:strCache>
                <c:ptCount val="12"/>
                <c:pt idx="0">
                  <c:v>JUL</c:v>
                </c:pt>
                <c:pt idx="1">
                  <c:v>AUG 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 </c:v>
                </c:pt>
                <c:pt idx="11">
                  <c:v>JUN</c:v>
                </c:pt>
              </c:strCache>
            </c:strRef>
          </c:cat>
          <c:val>
            <c:numRef>
              <c:f>'Deflated #''s'!$C$15:$C$26</c:f>
              <c:numCache>
                <c:formatCode>_(* #,##0_);_(* \(#,##0\);_(* "-"??_);_(@_)</c:formatCode>
                <c:ptCount val="12"/>
                <c:pt idx="0">
                  <c:v>8464638.7139842324</c:v>
                </c:pt>
                <c:pt idx="1">
                  <c:v>9144600.6302418001</c:v>
                </c:pt>
                <c:pt idx="2">
                  <c:v>8677147.9350494333</c:v>
                </c:pt>
                <c:pt idx="3">
                  <c:v>8721236.7692589238</c:v>
                </c:pt>
                <c:pt idx="4">
                  <c:v>8541649.3943433855</c:v>
                </c:pt>
                <c:pt idx="5">
                  <c:v>8786638.4094889089</c:v>
                </c:pt>
                <c:pt idx="6">
                  <c:v>7327294.8554738546</c:v>
                </c:pt>
                <c:pt idx="7">
                  <c:v>8641554.7486092132</c:v>
                </c:pt>
                <c:pt idx="8">
                  <c:v>7097261.8847051868</c:v>
                </c:pt>
                <c:pt idx="9">
                  <c:v>6794891.4052855279</c:v>
                </c:pt>
                <c:pt idx="10">
                  <c:v>7333362.0581025928</c:v>
                </c:pt>
                <c:pt idx="11">
                  <c:v>6890911.7649387093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'Deflated #''s'!$D$14</c:f>
              <c:strCache>
                <c:ptCount val="1"/>
                <c:pt idx="0">
                  <c:v>FY 09-10</c:v>
                </c:pt>
              </c:strCache>
            </c:strRef>
          </c:tx>
          <c:spPr>
            <a:ln>
              <a:solidFill>
                <a:schemeClr val="bg2">
                  <a:lumMod val="50000"/>
                  <a:alpha val="30000"/>
                </a:schemeClr>
              </a:solidFill>
            </a:ln>
          </c:spPr>
          <c:marker>
            <c:symbol val="none"/>
          </c:marker>
          <c:cat>
            <c:strRef>
              <c:f>'Deflated #''s'!$A$15:$A$26</c:f>
              <c:strCache>
                <c:ptCount val="12"/>
                <c:pt idx="0">
                  <c:v>JUL</c:v>
                </c:pt>
                <c:pt idx="1">
                  <c:v>AUG 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 </c:v>
                </c:pt>
                <c:pt idx="11">
                  <c:v>JUN</c:v>
                </c:pt>
              </c:strCache>
            </c:strRef>
          </c:cat>
          <c:val>
            <c:numRef>
              <c:f>'Deflated #''s'!$D$15:$D$26</c:f>
              <c:numCache>
                <c:formatCode>_(* #,##0_);_(* \(#,##0\);_(* "-"??_);_(@_)</c:formatCode>
                <c:ptCount val="12"/>
                <c:pt idx="0">
                  <c:v>7525828.9116474157</c:v>
                </c:pt>
                <c:pt idx="1">
                  <c:v>8158778.6764080077</c:v>
                </c:pt>
                <c:pt idx="2">
                  <c:v>7988939.3287920756</c:v>
                </c:pt>
                <c:pt idx="3">
                  <c:v>7892605.4828357352</c:v>
                </c:pt>
                <c:pt idx="4">
                  <c:v>7620386.2110145362</c:v>
                </c:pt>
                <c:pt idx="5">
                  <c:v>7374845.5539166136</c:v>
                </c:pt>
                <c:pt idx="6">
                  <c:v>6770135.9370479807</c:v>
                </c:pt>
                <c:pt idx="7">
                  <c:v>8373853.7364107464</c:v>
                </c:pt>
                <c:pt idx="8">
                  <c:v>6389197.623589607</c:v>
                </c:pt>
                <c:pt idx="9">
                  <c:v>6290427.9288414624</c:v>
                </c:pt>
                <c:pt idx="10">
                  <c:v>7280481.5044029932</c:v>
                </c:pt>
                <c:pt idx="11">
                  <c:v>6873479.3112414097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'Deflated #''s'!$E$14</c:f>
              <c:strCache>
                <c:ptCount val="1"/>
                <c:pt idx="0">
                  <c:v>FY 10-11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  <a:alpha val="30000"/>
                </a:schemeClr>
              </a:solidFill>
            </a:ln>
          </c:spPr>
          <c:marker>
            <c:symbol val="none"/>
          </c:marker>
          <c:cat>
            <c:strRef>
              <c:f>'Deflated #''s'!$A$15:$A$26</c:f>
              <c:strCache>
                <c:ptCount val="12"/>
                <c:pt idx="0">
                  <c:v>JUL</c:v>
                </c:pt>
                <c:pt idx="1">
                  <c:v>AUG 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 </c:v>
                </c:pt>
                <c:pt idx="11">
                  <c:v>JUN</c:v>
                </c:pt>
              </c:strCache>
            </c:strRef>
          </c:cat>
          <c:val>
            <c:numRef>
              <c:f>'Deflated #''s'!$E$15:$E$26</c:f>
              <c:numCache>
                <c:formatCode>_(* #,##0_);_(* \(#,##0\);_(* "-"??_);_(@_)</c:formatCode>
                <c:ptCount val="12"/>
                <c:pt idx="0">
                  <c:v>6803740.0325984117</c:v>
                </c:pt>
                <c:pt idx="1">
                  <c:v>8369365.5511718085</c:v>
                </c:pt>
                <c:pt idx="2">
                  <c:v>7469652.5994028402</c:v>
                </c:pt>
                <c:pt idx="3">
                  <c:v>7942801.8610319467</c:v>
                </c:pt>
                <c:pt idx="4">
                  <c:v>7385773.5481125731</c:v>
                </c:pt>
                <c:pt idx="5">
                  <c:v>7063013.43416382</c:v>
                </c:pt>
                <c:pt idx="6">
                  <c:v>6836614.3019512957</c:v>
                </c:pt>
                <c:pt idx="7">
                  <c:v>8471196.6929605342</c:v>
                </c:pt>
                <c:pt idx="8">
                  <c:v>6206894.2201242773</c:v>
                </c:pt>
                <c:pt idx="9">
                  <c:v>6283487.3402547259</c:v>
                </c:pt>
                <c:pt idx="10">
                  <c:v>7421187.068372881</c:v>
                </c:pt>
                <c:pt idx="11">
                  <c:v>7275775.7337021129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'Deflated #''s'!$F$14</c:f>
              <c:strCache>
                <c:ptCount val="1"/>
                <c:pt idx="0">
                  <c:v>FY 11-12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  <a:alpha val="30000"/>
                </a:schemeClr>
              </a:solidFill>
            </a:ln>
          </c:spPr>
          <c:marker>
            <c:symbol val="none"/>
          </c:marker>
          <c:cat>
            <c:strRef>
              <c:f>'Deflated #''s'!$A$15:$A$26</c:f>
              <c:strCache>
                <c:ptCount val="12"/>
                <c:pt idx="0">
                  <c:v>JUL</c:v>
                </c:pt>
                <c:pt idx="1">
                  <c:v>AUG 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 </c:v>
                </c:pt>
                <c:pt idx="11">
                  <c:v>JUN</c:v>
                </c:pt>
              </c:strCache>
            </c:strRef>
          </c:cat>
          <c:val>
            <c:numRef>
              <c:f>'Deflated #''s'!$F$15:$F$26</c:f>
              <c:numCache>
                <c:formatCode>#,##0</c:formatCode>
                <c:ptCount val="12"/>
                <c:pt idx="0">
                  <c:v>7347248.363488256</c:v>
                </c:pt>
                <c:pt idx="1">
                  <c:v>8185152.1896121688</c:v>
                </c:pt>
                <c:pt idx="2">
                  <c:v>7661579.8802665621</c:v>
                </c:pt>
                <c:pt idx="3">
                  <c:v>7976639.6319003254</c:v>
                </c:pt>
                <c:pt idx="4">
                  <c:v>7669863.5397126442</c:v>
                </c:pt>
                <c:pt idx="5">
                  <c:v>7035124.5081914803</c:v>
                </c:pt>
                <c:pt idx="6">
                  <c:v>7117974.431783841</c:v>
                </c:pt>
                <c:pt idx="7">
                  <c:v>8815747.6263166275</c:v>
                </c:pt>
                <c:pt idx="8">
                  <c:v>6678328.389449127</c:v>
                </c:pt>
                <c:pt idx="9">
                  <c:v>6759746.1374379089</c:v>
                </c:pt>
                <c:pt idx="10">
                  <c:v>7630403.5229729442</c:v>
                </c:pt>
                <c:pt idx="11">
                  <c:v>6685626.0675747162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'Deflated #''s'!$G$14</c:f>
              <c:strCache>
                <c:ptCount val="1"/>
                <c:pt idx="0">
                  <c:v>FY 12-13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  <a:alpha val="30000"/>
                </a:schemeClr>
              </a:solidFill>
            </a:ln>
          </c:spPr>
          <c:marker>
            <c:symbol val="none"/>
          </c:marker>
          <c:cat>
            <c:strRef>
              <c:f>'Deflated #''s'!$A$15:$A$26</c:f>
              <c:strCache>
                <c:ptCount val="12"/>
                <c:pt idx="0">
                  <c:v>JUL</c:v>
                </c:pt>
                <c:pt idx="1">
                  <c:v>AUG 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 </c:v>
                </c:pt>
                <c:pt idx="11">
                  <c:v>JUN</c:v>
                </c:pt>
              </c:strCache>
            </c:strRef>
          </c:cat>
          <c:val>
            <c:numRef>
              <c:f>'Deflated #''s'!$G$15:$G$26</c:f>
              <c:numCache>
                <c:formatCode>_(* #,##0_);_(* \(#,##0\);_(* "-"??_);_(@_)</c:formatCode>
                <c:ptCount val="12"/>
                <c:pt idx="0">
                  <c:v>7194534.9107531244</c:v>
                </c:pt>
                <c:pt idx="1">
                  <c:v>7949235.5472568683</c:v>
                </c:pt>
                <c:pt idx="2">
                  <c:v>7627165.5684887767</c:v>
                </c:pt>
                <c:pt idx="3">
                  <c:v>7932623.9968141643</c:v>
                </c:pt>
                <c:pt idx="4">
                  <c:v>7412623.6062571555</c:v>
                </c:pt>
                <c:pt idx="5">
                  <c:v>7483575.1016559796</c:v>
                </c:pt>
                <c:pt idx="6">
                  <c:v>7018724.6289842576</c:v>
                </c:pt>
                <c:pt idx="7">
                  <c:v>8133004.2393258959</c:v>
                </c:pt>
                <c:pt idx="8">
                  <c:v>7077224.7063188553</c:v>
                </c:pt>
                <c:pt idx="9">
                  <c:v>6131244.0024902262</c:v>
                </c:pt>
                <c:pt idx="10">
                  <c:v>7747033.7991908314</c:v>
                </c:pt>
                <c:pt idx="11">
                  <c:v>6925633.4282290833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'Deflated #''s'!$H$14</c:f>
              <c:strCache>
                <c:ptCount val="1"/>
                <c:pt idx="0">
                  <c:v>FY 13-14</c:v>
                </c:pt>
              </c:strCache>
            </c:strRef>
          </c:tx>
          <c:spPr>
            <a:ln w="31750">
              <a:solidFill>
                <a:srgbClr val="FFC000">
                  <a:alpha val="30000"/>
                </a:srgbClr>
              </a:solidFill>
            </a:ln>
          </c:spPr>
          <c:marker>
            <c:symbol val="none"/>
          </c:marker>
          <c:cat>
            <c:strRef>
              <c:f>'Deflated #''s'!$A$15:$A$26</c:f>
              <c:strCache>
                <c:ptCount val="12"/>
                <c:pt idx="0">
                  <c:v>JUL</c:v>
                </c:pt>
                <c:pt idx="1">
                  <c:v>AUG 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 </c:v>
                </c:pt>
                <c:pt idx="11">
                  <c:v>JUN</c:v>
                </c:pt>
              </c:strCache>
            </c:strRef>
          </c:cat>
          <c:val>
            <c:numRef>
              <c:f>'Deflated #''s'!$H$15:$H$26</c:f>
              <c:numCache>
                <c:formatCode>#,##0</c:formatCode>
                <c:ptCount val="12"/>
                <c:pt idx="0">
                  <c:v>7581728.7830688292</c:v>
                </c:pt>
                <c:pt idx="1">
                  <c:v>7900637.1610294785</c:v>
                </c:pt>
                <c:pt idx="2">
                  <c:v>7967811.7803145489</c:v>
                </c:pt>
                <c:pt idx="3">
                  <c:v>8809828.7203074563</c:v>
                </c:pt>
                <c:pt idx="4">
                  <c:v>7794399.8354219981</c:v>
                </c:pt>
                <c:pt idx="5">
                  <c:v>7796989.8191926787</c:v>
                </c:pt>
                <c:pt idx="6">
                  <c:v>6744660.4505108688</c:v>
                </c:pt>
                <c:pt idx="7">
                  <c:v>8306287.0444349982</c:v>
                </c:pt>
                <c:pt idx="8">
                  <c:v>6378453.2091490189</c:v>
                </c:pt>
                <c:pt idx="9">
                  <c:v>7029151.6622212781</c:v>
                </c:pt>
                <c:pt idx="10">
                  <c:v>7518513.8564771386</c:v>
                </c:pt>
                <c:pt idx="11">
                  <c:v>7219328.4182006083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'Deflated #''s'!$I$14</c:f>
              <c:strCache>
                <c:ptCount val="1"/>
                <c:pt idx="0">
                  <c:v>FY 14-15</c:v>
                </c:pt>
              </c:strCache>
            </c:strRef>
          </c:tx>
          <c:spPr>
            <a:ln w="28575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'Deflated #''s'!$A$15:$A$26</c:f>
              <c:strCache>
                <c:ptCount val="12"/>
                <c:pt idx="0">
                  <c:v>JUL</c:v>
                </c:pt>
                <c:pt idx="1">
                  <c:v>AUG 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 </c:v>
                </c:pt>
                <c:pt idx="11">
                  <c:v>JUN</c:v>
                </c:pt>
              </c:strCache>
            </c:strRef>
          </c:cat>
          <c:val>
            <c:numRef>
              <c:f>'Deflated #''s'!$I$15:$I$26</c:f>
              <c:numCache>
                <c:formatCode>#,##0</c:formatCode>
                <c:ptCount val="12"/>
                <c:pt idx="0">
                  <c:v>6914554.1375399996</c:v>
                </c:pt>
                <c:pt idx="1">
                  <c:v>7667646.0343199996</c:v>
                </c:pt>
                <c:pt idx="2">
                  <c:v>8625118.0139999986</c:v>
                </c:pt>
                <c:pt idx="3">
                  <c:v>7951741.9739999995</c:v>
                </c:pt>
                <c:pt idx="4">
                  <c:v>8079853.4639999997</c:v>
                </c:pt>
                <c:pt idx="5">
                  <c:v>7712309.0537999989</c:v>
                </c:pt>
                <c:pt idx="6">
                  <c:v>7024595.7037499994</c:v>
                </c:pt>
                <c:pt idx="7">
                  <c:v>8875164.0919499993</c:v>
                </c:pt>
                <c:pt idx="8">
                  <c:v>6391754.3954699999</c:v>
                </c:pt>
                <c:pt idx="9">
                  <c:v>6271375.4615700003</c:v>
                </c:pt>
                <c:pt idx="10">
                  <c:v>7614362.8923299992</c:v>
                </c:pt>
                <c:pt idx="11">
                  <c:v>7996902.8759999992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'Deflated #''s'!$J$14</c:f>
              <c:strCache>
                <c:ptCount val="1"/>
                <c:pt idx="0">
                  <c:v>FY 15-16</c:v>
                </c:pt>
              </c:strCache>
            </c:strRef>
          </c:tx>
          <c:spPr>
            <a:ln w="762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</c:spPr>
          </c:marker>
          <c:cat>
            <c:strRef>
              <c:f>'Deflated #''s'!$A$15:$A$26</c:f>
              <c:strCache>
                <c:ptCount val="12"/>
                <c:pt idx="0">
                  <c:v>JUL</c:v>
                </c:pt>
                <c:pt idx="1">
                  <c:v>AUG 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 </c:v>
                </c:pt>
                <c:pt idx="11">
                  <c:v>JUN</c:v>
                </c:pt>
              </c:strCache>
            </c:strRef>
          </c:cat>
          <c:val>
            <c:numRef>
              <c:f>'Deflated #''s'!$J$15:$J$26</c:f>
              <c:numCache>
                <c:formatCode>#,##0.00</c:formatCode>
                <c:ptCount val="12"/>
                <c:pt idx="0">
                  <c:v>7774938.9000000004</c:v>
                </c:pt>
                <c:pt idx="1">
                  <c:v>8444283.2100000009</c:v>
                </c:pt>
                <c:pt idx="2">
                  <c:v>8559891.2699999996</c:v>
                </c:pt>
                <c:pt idx="3">
                  <c:v>7993372.5999999996</c:v>
                </c:pt>
                <c:pt idx="4">
                  <c:v>8073909</c:v>
                </c:pt>
                <c:pt idx="5">
                  <c:v>7878332.79</c:v>
                </c:pt>
                <c:pt idx="6">
                  <c:v>6903342.9100000001</c:v>
                </c:pt>
                <c:pt idx="7">
                  <c:v>8335574.4900000012</c:v>
                </c:pt>
                <c:pt idx="8">
                  <c:v>6909944.4500000002</c:v>
                </c:pt>
                <c:pt idx="9">
                  <c:v>6954678.5199999996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60768"/>
        <c:axId val="45617088"/>
      </c:lineChart>
      <c:catAx>
        <c:axId val="65760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45617088"/>
        <c:crosses val="autoZero"/>
        <c:auto val="1"/>
        <c:lblAlgn val="ctr"/>
        <c:lblOffset val="100"/>
        <c:noMultiLvlLbl val="0"/>
      </c:catAx>
      <c:valAx>
        <c:axId val="45617088"/>
        <c:scaling>
          <c:orientation val="minMax"/>
          <c:max val="10000000"/>
          <c:min val="5500000"/>
        </c:scaling>
        <c:delete val="0"/>
        <c:axPos val="l"/>
        <c:majorGridlines/>
        <c:numFmt formatCode="&quot;$&quot;#,##0" sourceLinked="0"/>
        <c:majorTickMark val="none"/>
        <c:minorTickMark val="none"/>
        <c:tickLblPos val="nextTo"/>
        <c:crossAx val="65760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City</a:t>
            </a:r>
            <a:r>
              <a:rPr lang="en-US" baseline="0"/>
              <a:t> of Santa Fe GRT 2008-2015</a:t>
            </a:r>
          </a:p>
          <a:p>
            <a:pPr>
              <a:defRPr/>
            </a:pPr>
            <a:r>
              <a:rPr lang="en-US" b="0" baseline="0"/>
              <a:t>Inflation Corrected 2015 $'s</a:t>
            </a:r>
            <a:endParaRPr lang="en-US" b="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0936264182446802E-2"/>
          <c:y val="0.17141300065012319"/>
          <c:w val="0.89977400244713823"/>
          <c:h val="0.7445562660913827"/>
        </c:manualLayout>
      </c:layout>
      <c:lineChart>
        <c:grouping val="standard"/>
        <c:varyColors val="0"/>
        <c:ser>
          <c:idx val="1"/>
          <c:order val="0"/>
          <c:tx>
            <c:strRef>
              <c:f>'sheet 1'!$A$3</c:f>
              <c:strCache>
                <c:ptCount val="1"/>
                <c:pt idx="0">
                  <c:v> 8,440,585 </c:v>
                </c:pt>
              </c:strCache>
            </c:strRef>
          </c:tx>
          <c:spPr>
            <a:ln w="50800"/>
          </c:spPr>
          <c:marker>
            <c:symbol val="none"/>
          </c:marker>
          <c:trendline>
            <c:spPr>
              <a:ln w="12700">
                <a:prstDash val="sysDash"/>
                <a:tailEnd type="arrow" w="lg" len="med"/>
              </a:ln>
            </c:spPr>
            <c:trendlineType val="linear"/>
            <c:dispRSqr val="0"/>
            <c:dispEq val="0"/>
          </c:trendline>
          <c:cat>
            <c:strRef>
              <c:f>'sheet 1'!$A$2:$CZ$2</c:f>
              <c:strCache>
                <c:ptCount val="97"/>
                <c:pt idx="0">
                  <c:v>Jul'07</c:v>
                </c:pt>
                <c:pt idx="12">
                  <c:v>Jul'08</c:v>
                </c:pt>
                <c:pt idx="24">
                  <c:v>Jul'09</c:v>
                </c:pt>
                <c:pt idx="36">
                  <c:v>Jul'10</c:v>
                </c:pt>
                <c:pt idx="48">
                  <c:v>Jul'11</c:v>
                </c:pt>
                <c:pt idx="60">
                  <c:v>Jul'12</c:v>
                </c:pt>
                <c:pt idx="72">
                  <c:v>Jul'13</c:v>
                </c:pt>
                <c:pt idx="84">
                  <c:v>Jul'14</c:v>
                </c:pt>
                <c:pt idx="96">
                  <c:v>Jul'15</c:v>
                </c:pt>
              </c:strCache>
            </c:strRef>
          </c:cat>
          <c:val>
            <c:numRef>
              <c:f>'sheet 1'!$B$3:$DZ$3</c:f>
              <c:numCache>
                <c:formatCode>_(* #,##0_);_(* \(#,##0\);_(* "-"??_);_(@_)</c:formatCode>
                <c:ptCount val="129"/>
                <c:pt idx="0">
                  <c:v>9427055.697915582</c:v>
                </c:pt>
                <c:pt idx="1">
                  <c:v>8622243.7739725634</c:v>
                </c:pt>
                <c:pt idx="2">
                  <c:v>8917014.0403376631</c:v>
                </c:pt>
                <c:pt idx="3">
                  <c:v>8889476.9800796248</c:v>
                </c:pt>
                <c:pt idx="4">
                  <c:v>8452042.291038407</c:v>
                </c:pt>
                <c:pt idx="5">
                  <c:v>7995468.4089634726</c:v>
                </c:pt>
                <c:pt idx="6">
                  <c:v>9984792.9247525055</c:v>
                </c:pt>
                <c:pt idx="7">
                  <c:v>7644618.2669357387</c:v>
                </c:pt>
                <c:pt idx="8">
                  <c:v>6817086.669876771</c:v>
                </c:pt>
                <c:pt idx="9">
                  <c:v>7899810.8947295295</c:v>
                </c:pt>
                <c:pt idx="10">
                  <c:v>8240643.7214483656</c:v>
                </c:pt>
                <c:pt idx="11">
                  <c:v>8464638.7139842324</c:v>
                </c:pt>
                <c:pt idx="12">
                  <c:v>9144600.6302418001</c:v>
                </c:pt>
                <c:pt idx="13">
                  <c:v>8677147.9350494333</c:v>
                </c:pt>
                <c:pt idx="14">
                  <c:v>8721236.7692589238</c:v>
                </c:pt>
                <c:pt idx="15">
                  <c:v>8541649.3943433855</c:v>
                </c:pt>
                <c:pt idx="16">
                  <c:v>8786638.4094889089</c:v>
                </c:pt>
                <c:pt idx="17">
                  <c:v>7995468.4089634726</c:v>
                </c:pt>
                <c:pt idx="18">
                  <c:v>9984792.9247525055</c:v>
                </c:pt>
                <c:pt idx="19">
                  <c:v>7644618.2669357387</c:v>
                </c:pt>
                <c:pt idx="20">
                  <c:v>6817086.669876771</c:v>
                </c:pt>
                <c:pt idx="21">
                  <c:v>7899810.8947295295</c:v>
                </c:pt>
                <c:pt idx="22">
                  <c:v>8240643.7214483656</c:v>
                </c:pt>
                <c:pt idx="23">
                  <c:v>7525828.9116474157</c:v>
                </c:pt>
                <c:pt idx="24">
                  <c:v>8158778.6764080077</c:v>
                </c:pt>
                <c:pt idx="25">
                  <c:v>7988939.3287920756</c:v>
                </c:pt>
                <c:pt idx="26">
                  <c:v>7892605.4828357352</c:v>
                </c:pt>
                <c:pt idx="27">
                  <c:v>7620386.2110145362</c:v>
                </c:pt>
                <c:pt idx="28">
                  <c:v>7374845.5539166136</c:v>
                </c:pt>
                <c:pt idx="29">
                  <c:v>6770135.9370479807</c:v>
                </c:pt>
                <c:pt idx="30">
                  <c:v>8373853.7364107464</c:v>
                </c:pt>
                <c:pt idx="31">
                  <c:v>6389197.623589607</c:v>
                </c:pt>
                <c:pt idx="32">
                  <c:v>6290427.9288414624</c:v>
                </c:pt>
                <c:pt idx="33">
                  <c:v>7280481.5044029932</c:v>
                </c:pt>
                <c:pt idx="34">
                  <c:v>6873479.3112414097</c:v>
                </c:pt>
                <c:pt idx="35">
                  <c:v>6803740.0325984117</c:v>
                </c:pt>
                <c:pt idx="36">
                  <c:v>8369365.5511718085</c:v>
                </c:pt>
                <c:pt idx="37">
                  <c:v>7469652.5994028402</c:v>
                </c:pt>
                <c:pt idx="38">
                  <c:v>7942801.8610319467</c:v>
                </c:pt>
                <c:pt idx="39">
                  <c:v>7385773.5481125731</c:v>
                </c:pt>
                <c:pt idx="40">
                  <c:v>7063013.43416382</c:v>
                </c:pt>
                <c:pt idx="41">
                  <c:v>6836614.3019512957</c:v>
                </c:pt>
                <c:pt idx="42">
                  <c:v>8471196.6929605342</c:v>
                </c:pt>
                <c:pt idx="43">
                  <c:v>6206894.2201242773</c:v>
                </c:pt>
                <c:pt idx="44">
                  <c:v>6283487.3402547259</c:v>
                </c:pt>
                <c:pt idx="45">
                  <c:v>7421187.068372881</c:v>
                </c:pt>
                <c:pt idx="46">
                  <c:v>7275775.7337021129</c:v>
                </c:pt>
                <c:pt idx="47" formatCode="#,##0">
                  <c:v>7347248.363488256</c:v>
                </c:pt>
                <c:pt idx="48" formatCode="#,##0">
                  <c:v>8185152.1896121688</c:v>
                </c:pt>
                <c:pt idx="49" formatCode="#,##0">
                  <c:v>7661579.8802665621</c:v>
                </c:pt>
                <c:pt idx="50" formatCode="#,##0">
                  <c:v>7976639.6319003254</c:v>
                </c:pt>
                <c:pt idx="51" formatCode="#,##0">
                  <c:v>7669863.5397126442</c:v>
                </c:pt>
                <c:pt idx="52" formatCode="#,##0">
                  <c:v>7035124.5081914803</c:v>
                </c:pt>
                <c:pt idx="53" formatCode="#,##0">
                  <c:v>7117974.431783841</c:v>
                </c:pt>
                <c:pt idx="54" formatCode="#,##0">
                  <c:v>8815747.6263166275</c:v>
                </c:pt>
                <c:pt idx="55" formatCode="#,##0">
                  <c:v>6678328.389449127</c:v>
                </c:pt>
                <c:pt idx="56" formatCode="#,##0">
                  <c:v>6759746.1374379089</c:v>
                </c:pt>
                <c:pt idx="57" formatCode="#,##0">
                  <c:v>7630403.5229729442</c:v>
                </c:pt>
                <c:pt idx="58" formatCode="#,##0">
                  <c:v>6685626.0675747162</c:v>
                </c:pt>
                <c:pt idx="59">
                  <c:v>7194534.9107531244</c:v>
                </c:pt>
                <c:pt idx="60">
                  <c:v>7949235.5472568683</c:v>
                </c:pt>
                <c:pt idx="61">
                  <c:v>7627165.5684887767</c:v>
                </c:pt>
                <c:pt idx="62">
                  <c:v>7932623.9968141643</c:v>
                </c:pt>
                <c:pt idx="63">
                  <c:v>7412623.6062571555</c:v>
                </c:pt>
                <c:pt idx="64">
                  <c:v>7483575.1016559796</c:v>
                </c:pt>
                <c:pt idx="65">
                  <c:v>7018724.6289842576</c:v>
                </c:pt>
                <c:pt idx="66">
                  <c:v>8133004.2393258959</c:v>
                </c:pt>
                <c:pt idx="67">
                  <c:v>7077224.7063188553</c:v>
                </c:pt>
                <c:pt idx="68">
                  <c:v>6131244.0024902262</c:v>
                </c:pt>
                <c:pt idx="69">
                  <c:v>7747033.7991908314</c:v>
                </c:pt>
                <c:pt idx="70">
                  <c:v>6925633.4282290833</c:v>
                </c:pt>
                <c:pt idx="71" formatCode="#,##0">
                  <c:v>7581728.7830688292</c:v>
                </c:pt>
                <c:pt idx="72" formatCode="#,##0">
                  <c:v>7900637.1610294785</c:v>
                </c:pt>
                <c:pt idx="73" formatCode="#,##0">
                  <c:v>7967811.7803145489</c:v>
                </c:pt>
                <c:pt idx="74" formatCode="#,##0">
                  <c:v>8809828.7203074563</c:v>
                </c:pt>
                <c:pt idx="75" formatCode="#,##0">
                  <c:v>7794399.8354219981</c:v>
                </c:pt>
                <c:pt idx="76" formatCode="#,##0">
                  <c:v>7796989.8191926787</c:v>
                </c:pt>
                <c:pt idx="77" formatCode="#,##0">
                  <c:v>6744660.4505108688</c:v>
                </c:pt>
                <c:pt idx="78" formatCode="#,##0">
                  <c:v>8306287.0444349982</c:v>
                </c:pt>
                <c:pt idx="79" formatCode="#,##0">
                  <c:v>6378453.2091490189</c:v>
                </c:pt>
                <c:pt idx="80" formatCode="#,##0">
                  <c:v>7029151.6622212781</c:v>
                </c:pt>
                <c:pt idx="81" formatCode="#,##0">
                  <c:v>7518513.8564771386</c:v>
                </c:pt>
                <c:pt idx="82" formatCode="#,##0">
                  <c:v>7219328.4182006083</c:v>
                </c:pt>
                <c:pt idx="83" formatCode="#,##0">
                  <c:v>6914554.1375399996</c:v>
                </c:pt>
                <c:pt idx="84" formatCode="#,##0">
                  <c:v>7667646.0343199996</c:v>
                </c:pt>
                <c:pt idx="85" formatCode="#,##0">
                  <c:v>8625118.0139999986</c:v>
                </c:pt>
                <c:pt idx="86" formatCode="#,##0">
                  <c:v>7951741.9739999995</c:v>
                </c:pt>
                <c:pt idx="87" formatCode="#,##0">
                  <c:v>8079853.4639999997</c:v>
                </c:pt>
                <c:pt idx="88" formatCode="#,##0">
                  <c:v>7712309.0537999989</c:v>
                </c:pt>
                <c:pt idx="89" formatCode="#,##0">
                  <c:v>7024595.7037499994</c:v>
                </c:pt>
                <c:pt idx="90" formatCode="#,##0">
                  <c:v>8875164.0919499993</c:v>
                </c:pt>
                <c:pt idx="91" formatCode="#,##0">
                  <c:v>6391754.3954699999</c:v>
                </c:pt>
                <c:pt idx="92" formatCode="#,##0">
                  <c:v>6271375.4615700003</c:v>
                </c:pt>
                <c:pt idx="93" formatCode="#,##0">
                  <c:v>7614362.8923299992</c:v>
                </c:pt>
                <c:pt idx="94" formatCode="#,##0">
                  <c:v>7996902.8759999992</c:v>
                </c:pt>
                <c:pt idx="95" formatCode="#,##0.00">
                  <c:v>7774938.9000000004</c:v>
                </c:pt>
                <c:pt idx="96" formatCode="#,##0.00">
                  <c:v>8444283.2100000009</c:v>
                </c:pt>
                <c:pt idx="97" formatCode="#,##0.00">
                  <c:v>8559891.2699999996</c:v>
                </c:pt>
                <c:pt idx="98" formatCode="#,##0.00">
                  <c:v>7993372.5999999996</c:v>
                </c:pt>
                <c:pt idx="99" formatCode="#,##0.00">
                  <c:v>8073909</c:v>
                </c:pt>
                <c:pt idx="100" formatCode="#,##0.00">
                  <c:v>7878332.79</c:v>
                </c:pt>
                <c:pt idx="101" formatCode="#,##0.00">
                  <c:v>6903342.9100000001</c:v>
                </c:pt>
                <c:pt idx="102" formatCode="#,##0.00">
                  <c:v>8335574.4900000012</c:v>
                </c:pt>
                <c:pt idx="103" formatCode="#,##0.00">
                  <c:v>6909944.4500000002</c:v>
                </c:pt>
                <c:pt idx="104" formatCode="#,##0.00">
                  <c:v>6954678.5199999996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99200"/>
        <c:axId val="94356032"/>
      </c:lineChart>
      <c:catAx>
        <c:axId val="7889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56032"/>
        <c:crosses val="autoZero"/>
        <c:auto val="1"/>
        <c:lblAlgn val="ctr"/>
        <c:lblOffset val="100"/>
        <c:noMultiLvlLbl val="0"/>
      </c:catAx>
      <c:valAx>
        <c:axId val="94356032"/>
        <c:scaling>
          <c:orientation val="minMax"/>
          <c:max val="10000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7889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6" l="0.5" r="0.5" t="0.5" header="0.5" footer="0.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28575</xdr:rowOff>
    </xdr:from>
    <xdr:to>
      <xdr:col>11</xdr:col>
      <xdr:colOff>9524</xdr:colOff>
      <xdr:row>18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152400</xdr:rowOff>
    </xdr:from>
    <xdr:to>
      <xdr:col>12</xdr:col>
      <xdr:colOff>228600</xdr:colOff>
      <xdr:row>26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133350</xdr:rowOff>
    </xdr:from>
    <xdr:to>
      <xdr:col>12</xdr:col>
      <xdr:colOff>476250</xdr:colOff>
      <xdr:row>61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142876</xdr:colOff>
      <xdr:row>19</xdr:row>
      <xdr:rowOff>19050</xdr:rowOff>
    </xdr:from>
    <xdr:to>
      <xdr:col>30</xdr:col>
      <xdr:colOff>647700</xdr:colOff>
      <xdr:row>56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research.stlouisfed.org/fred2/data/A191RI1A225NBEA.tx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9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2.75" x14ac:dyDescent="0.2"/>
  <cols>
    <col min="1" max="1" width="9.85546875" style="10" customWidth="1"/>
    <col min="2" max="2" width="11.42578125" style="10" customWidth="1"/>
    <col min="3" max="3" width="8.140625" style="10" customWidth="1"/>
    <col min="4" max="4" width="11.42578125" style="10" hidden="1" customWidth="1"/>
    <col min="5" max="5" width="7.7109375" style="10" hidden="1" customWidth="1"/>
    <col min="6" max="6" width="12.5703125" style="133" hidden="1" customWidth="1"/>
    <col min="7" max="7" width="7.7109375" style="133" hidden="1" customWidth="1"/>
    <col min="8" max="8" width="0.85546875" style="133" customWidth="1"/>
    <col min="9" max="9" width="11.7109375" style="10" customWidth="1"/>
    <col min="10" max="10" width="7.42578125" style="53" customWidth="1"/>
    <col min="11" max="11" width="11.42578125" style="53" customWidth="1"/>
    <col min="12" max="12" width="7.28515625" style="53" customWidth="1"/>
    <col min="13" max="13" width="12.7109375" style="53" customWidth="1"/>
    <col min="14" max="14" width="7.7109375" style="133" customWidth="1"/>
    <col min="15" max="15" width="12" style="53" customWidth="1"/>
    <col min="16" max="16" width="8" style="53" customWidth="1"/>
    <col min="17" max="17" width="12" style="75" customWidth="1"/>
    <col min="18" max="18" width="9.140625" style="75" customWidth="1"/>
    <col min="19" max="19" width="2.5703125" style="10" customWidth="1"/>
    <col min="20" max="20" width="12" style="75" customWidth="1"/>
    <col min="21" max="21" width="9.140625" style="75" customWidth="1"/>
    <col min="22" max="22" width="11.7109375" style="75" bestFit="1" customWidth="1"/>
    <col min="23" max="23" width="14.85546875" style="10" customWidth="1"/>
    <col min="24" max="24" width="8.85546875" style="10" customWidth="1"/>
    <col min="25" max="25" width="15.140625" style="10" customWidth="1"/>
    <col min="26" max="26" width="9.140625" style="10" customWidth="1"/>
    <col min="27" max="16384" width="9.140625" style="10"/>
  </cols>
  <sheetData>
    <row r="1" spans="1:25" x14ac:dyDescent="0.2">
      <c r="A1" s="217" t="s">
        <v>0</v>
      </c>
      <c r="K1" s="271"/>
      <c r="L1" s="70"/>
      <c r="M1" s="70"/>
      <c r="N1" s="173"/>
      <c r="O1" s="70"/>
      <c r="P1" s="70"/>
    </row>
    <row r="2" spans="1:25" x14ac:dyDescent="0.2">
      <c r="A2" s="217" t="s">
        <v>107</v>
      </c>
      <c r="D2" s="66"/>
    </row>
    <row r="3" spans="1:25" x14ac:dyDescent="0.2">
      <c r="A3" s="218"/>
      <c r="O3" s="133"/>
    </row>
    <row r="4" spans="1:25" hidden="1" x14ac:dyDescent="0.2">
      <c r="A4" s="218"/>
    </row>
    <row r="5" spans="1:25" ht="13.5" thickBot="1" x14ac:dyDescent="0.25">
      <c r="B5" s="366" t="s">
        <v>151</v>
      </c>
      <c r="C5" s="367"/>
      <c r="W5" s="219"/>
    </row>
    <row r="6" spans="1:25" s="1" customFormat="1" x14ac:dyDescent="0.2">
      <c r="A6" s="116"/>
      <c r="B6" s="117"/>
      <c r="C6" s="118"/>
      <c r="D6" s="119"/>
      <c r="E6" s="118"/>
      <c r="F6" s="119"/>
      <c r="G6" s="118"/>
      <c r="H6" s="12"/>
      <c r="I6" s="117"/>
      <c r="J6" s="118"/>
      <c r="K6" s="117"/>
      <c r="L6" s="118"/>
      <c r="M6" s="117"/>
      <c r="N6" s="120"/>
      <c r="O6" s="117"/>
      <c r="P6" s="119"/>
      <c r="Q6" s="117"/>
      <c r="R6" s="118"/>
      <c r="T6" s="117"/>
      <c r="U6" s="119"/>
      <c r="V6" s="121"/>
      <c r="W6" s="122"/>
      <c r="X6" s="122"/>
      <c r="Y6" s="123"/>
    </row>
    <row r="7" spans="1:25" s="1" customFormat="1" x14ac:dyDescent="0.2">
      <c r="A7" s="124"/>
      <c r="B7" s="125" t="s">
        <v>118</v>
      </c>
      <c r="C7" s="126" t="s">
        <v>16</v>
      </c>
      <c r="D7" s="12" t="s">
        <v>118</v>
      </c>
      <c r="E7" s="126" t="s">
        <v>16</v>
      </c>
      <c r="F7" s="12" t="s">
        <v>118</v>
      </c>
      <c r="G7" s="126" t="s">
        <v>16</v>
      </c>
      <c r="H7" s="12"/>
      <c r="I7" s="125" t="s">
        <v>118</v>
      </c>
      <c r="J7" s="126" t="s">
        <v>16</v>
      </c>
      <c r="K7" s="125" t="s">
        <v>118</v>
      </c>
      <c r="L7" s="126" t="s">
        <v>16</v>
      </c>
      <c r="M7" s="125" t="s">
        <v>118</v>
      </c>
      <c r="N7" s="127" t="s">
        <v>16</v>
      </c>
      <c r="O7" s="125" t="s">
        <v>118</v>
      </c>
      <c r="P7" s="12" t="s">
        <v>16</v>
      </c>
      <c r="Q7" s="125" t="s">
        <v>118</v>
      </c>
      <c r="R7" s="126" t="s">
        <v>16</v>
      </c>
      <c r="T7" s="125" t="s">
        <v>118</v>
      </c>
      <c r="U7" s="12" t="s">
        <v>16</v>
      </c>
      <c r="V7" s="128" t="s">
        <v>148</v>
      </c>
      <c r="W7" s="12" t="s">
        <v>119</v>
      </c>
      <c r="X7" s="12" t="s">
        <v>141</v>
      </c>
      <c r="Y7" s="126" t="s">
        <v>122</v>
      </c>
    </row>
    <row r="8" spans="1:25" s="1" customFormat="1" ht="13.5" thickBot="1" x14ac:dyDescent="0.25">
      <c r="A8" s="129" t="s">
        <v>1</v>
      </c>
      <c r="B8" s="129" t="s">
        <v>81</v>
      </c>
      <c r="C8" s="130" t="s">
        <v>120</v>
      </c>
      <c r="D8" s="216" t="s">
        <v>96</v>
      </c>
      <c r="E8" s="130" t="s">
        <v>120</v>
      </c>
      <c r="F8" s="216" t="s">
        <v>100</v>
      </c>
      <c r="G8" s="130" t="s">
        <v>120</v>
      </c>
      <c r="H8" s="12"/>
      <c r="I8" s="129" t="s">
        <v>103</v>
      </c>
      <c r="J8" s="130" t="s">
        <v>120</v>
      </c>
      <c r="K8" s="125" t="s">
        <v>115</v>
      </c>
      <c r="L8" s="130" t="s">
        <v>120</v>
      </c>
      <c r="M8" s="125" t="s">
        <v>135</v>
      </c>
      <c r="N8" s="127" t="s">
        <v>120</v>
      </c>
      <c r="O8" s="125" t="s">
        <v>147</v>
      </c>
      <c r="P8" s="12" t="s">
        <v>120</v>
      </c>
      <c r="Q8" s="129" t="s">
        <v>155</v>
      </c>
      <c r="R8" s="130" t="s">
        <v>120</v>
      </c>
      <c r="T8" s="129" t="s">
        <v>187</v>
      </c>
      <c r="U8" s="331" t="s">
        <v>120</v>
      </c>
      <c r="V8" s="183" t="s">
        <v>149</v>
      </c>
      <c r="W8" s="129" t="s">
        <v>193</v>
      </c>
      <c r="X8" s="12" t="s">
        <v>142</v>
      </c>
      <c r="Y8" s="126" t="s">
        <v>102</v>
      </c>
    </row>
    <row r="9" spans="1:25" x14ac:dyDescent="0.2">
      <c r="A9" s="131"/>
      <c r="B9" s="131"/>
      <c r="C9" s="211"/>
      <c r="D9" s="131"/>
      <c r="F9" s="132"/>
      <c r="G9" s="136"/>
      <c r="H9" s="144"/>
      <c r="I9" s="131"/>
      <c r="J9" s="134"/>
      <c r="K9" s="135"/>
      <c r="L9" s="134"/>
      <c r="M9" s="135"/>
      <c r="N9" s="136"/>
      <c r="O9" s="137"/>
      <c r="P9" s="134"/>
      <c r="Q9" s="275"/>
      <c r="R9" s="276"/>
      <c r="T9" s="275"/>
      <c r="U9" s="274"/>
      <c r="V9" s="276"/>
      <c r="W9" s="138"/>
      <c r="X9" s="138"/>
      <c r="Y9" s="139"/>
    </row>
    <row r="10" spans="1:25" x14ac:dyDescent="0.2">
      <c r="A10" s="141" t="s">
        <v>2</v>
      </c>
      <c r="B10" s="142">
        <f>8009685.97-B91</f>
        <v>7375728.8599999994</v>
      </c>
      <c r="C10" s="145">
        <v>0.15390000000000001</v>
      </c>
      <c r="D10" s="142">
        <f>8176517-D91</f>
        <v>7522492.3700000001</v>
      </c>
      <c r="E10" s="133">
        <f t="shared" ref="E10:E21" si="0">+D10/B10-1</f>
        <v>1.9898170443320762E-2</v>
      </c>
      <c r="F10" s="143">
        <f>7394597.39-F91</f>
        <v>6801874.6399999997</v>
      </c>
      <c r="G10" s="145">
        <f t="shared" ref="G10:G21" si="1">+F10/D10-1</f>
        <v>-9.579507622684369E-2</v>
      </c>
      <c r="H10" s="144"/>
      <c r="I10" s="143">
        <f>6799736-I91</f>
        <v>6253785</v>
      </c>
      <c r="J10" s="144">
        <f t="shared" ref="J10:J21" si="2">+I10/F10-1</f>
        <v>-8.0579203382672104E-2</v>
      </c>
      <c r="K10" s="143">
        <v>6868167.9900000002</v>
      </c>
      <c r="L10" s="144">
        <f t="shared" ref="L10:L21" si="3">+K10/I10-1</f>
        <v>9.8241783176108655E-2</v>
      </c>
      <c r="M10" s="143">
        <f>7440068.62-M91</f>
        <v>6839744.29</v>
      </c>
      <c r="N10" s="145">
        <f t="shared" ref="N10:N21" si="4">+M10/K10-1</f>
        <v>-4.1384689543682018E-3</v>
      </c>
      <c r="O10" s="146">
        <f>7972464.69-O91</f>
        <v>7330377.4700000007</v>
      </c>
      <c r="P10" s="144">
        <f t="shared" ref="P10:P21" si="5">+O10/M10-1</f>
        <v>7.1732678766562641E-2</v>
      </c>
      <c r="Q10" s="149">
        <f>7391712.82-Q91</f>
        <v>6798971.6200000001</v>
      </c>
      <c r="R10" s="187">
        <f t="shared" ref="R10:R21" si="6">+Q10/O10-1</f>
        <v>-7.2493654272895225E-2</v>
      </c>
      <c r="T10" s="149">
        <f>8454786.81-T91</f>
        <v>7774938.9000000004</v>
      </c>
      <c r="U10" s="144">
        <f t="shared" ref="U10:U16" si="7">+T10/Q10-1</f>
        <v>0.14354630884604291</v>
      </c>
      <c r="V10" s="148">
        <f t="shared" ref="V10:V16" si="8">+T10-Q10</f>
        <v>975967.28000000026</v>
      </c>
      <c r="W10" s="340">
        <v>6755595.6966815004</v>
      </c>
      <c r="X10" s="144">
        <f t="shared" ref="X10:X16" si="9">+(T10-W10)/W10</f>
        <v>0.15088872234009268</v>
      </c>
      <c r="Y10" s="148">
        <f t="shared" ref="Y10:Y16" si="10">+T10-W10</f>
        <v>1019343.2033185</v>
      </c>
    </row>
    <row r="11" spans="1:25" x14ac:dyDescent="0.2">
      <c r="A11" s="141" t="s">
        <v>3</v>
      </c>
      <c r="B11" s="142">
        <f>8952346-B92</f>
        <v>8237747</v>
      </c>
      <c r="C11" s="145">
        <v>-2.1600000000000001E-2</v>
      </c>
      <c r="D11" s="142">
        <f>8837441.09-D92</f>
        <v>8126771.9500000002</v>
      </c>
      <c r="E11" s="133">
        <f t="shared" si="0"/>
        <v>-1.3471529290715045E-2</v>
      </c>
      <c r="F11" s="143">
        <f>8015911.83-F92</f>
        <v>7373937.2000000002</v>
      </c>
      <c r="G11" s="145">
        <f t="shared" si="1"/>
        <v>-9.2636381903149156E-2</v>
      </c>
      <c r="H11" s="144"/>
      <c r="I11" s="143">
        <f>8364680-I92</f>
        <v>7692859</v>
      </c>
      <c r="J11" s="144">
        <f t="shared" si="2"/>
        <v>4.3249866570602258E-2</v>
      </c>
      <c r="K11" s="143">
        <v>7651435.9500000002</v>
      </c>
      <c r="L11" s="144">
        <f t="shared" si="3"/>
        <v>-5.3846105849593151E-3</v>
      </c>
      <c r="M11" s="143">
        <f>8216229.78-M92</f>
        <v>7557227.6900000004</v>
      </c>
      <c r="N11" s="145">
        <f t="shared" si="4"/>
        <v>-1.2312494101188953E-2</v>
      </c>
      <c r="O11" s="149">
        <f>8307717.51-O92</f>
        <v>7638713.3200000003</v>
      </c>
      <c r="P11" s="144">
        <f t="shared" si="5"/>
        <v>1.0782476503629068E-2</v>
      </c>
      <c r="Q11" s="149">
        <f>8198037.74-Q92</f>
        <v>7539474.96</v>
      </c>
      <c r="R11" s="187">
        <f t="shared" si="6"/>
        <v>-1.2991502081924011E-2</v>
      </c>
      <c r="S11" s="147"/>
      <c r="T11" s="149">
        <f>9183110.25-T92</f>
        <v>8444283.2100000009</v>
      </c>
      <c r="U11" s="144">
        <f t="shared" si="7"/>
        <v>0.12000945089683013</v>
      </c>
      <c r="V11" s="148">
        <f t="shared" si="8"/>
        <v>904808.25000000093</v>
      </c>
      <c r="W11" s="340">
        <v>7491374.7904442549</v>
      </c>
      <c r="X11" s="144">
        <f t="shared" si="9"/>
        <v>0.12720074034625045</v>
      </c>
      <c r="Y11" s="148">
        <f t="shared" si="10"/>
        <v>952908.41955574602</v>
      </c>
    </row>
    <row r="12" spans="1:25" x14ac:dyDescent="0.2">
      <c r="A12" s="141" t="s">
        <v>4</v>
      </c>
      <c r="B12" s="142">
        <f>8187901.84-B93</f>
        <v>7534469.4100000001</v>
      </c>
      <c r="C12" s="145">
        <v>9.2999999999999999E-2</v>
      </c>
      <c r="D12" s="142">
        <f>8381666.2-D93</f>
        <v>7711348.5099999998</v>
      </c>
      <c r="E12" s="133">
        <f t="shared" si="0"/>
        <v>2.3475986214137379E-2</v>
      </c>
      <c r="F12" s="143">
        <f>7849595.19-F93</f>
        <v>7220435.7100000009</v>
      </c>
      <c r="G12" s="145">
        <f t="shared" si="1"/>
        <v>-6.3661083319394574E-2</v>
      </c>
      <c r="H12" s="144"/>
      <c r="I12" s="143">
        <f>7463729-597858</f>
        <v>6865871</v>
      </c>
      <c r="J12" s="144">
        <f t="shared" si="2"/>
        <v>-4.9105722180857292E-2</v>
      </c>
      <c r="K12" s="143">
        <v>7162003.3899999997</v>
      </c>
      <c r="L12" s="144">
        <f t="shared" si="3"/>
        <v>4.3131073974445489E-2</v>
      </c>
      <c r="M12" s="143">
        <f>7885171.78-M93</f>
        <v>7251040.2400000002</v>
      </c>
      <c r="N12" s="145">
        <f t="shared" si="4"/>
        <v>1.2431835779960432E-2</v>
      </c>
      <c r="O12" s="149">
        <v>7703660.9500000002</v>
      </c>
      <c r="P12" s="144">
        <f t="shared" si="5"/>
        <v>6.2421486437647999E-2</v>
      </c>
      <c r="Q12" s="149">
        <f>9221566-Q93</f>
        <v>8480942</v>
      </c>
      <c r="R12" s="187">
        <f t="shared" si="6"/>
        <v>0.10089761933253305</v>
      </c>
      <c r="S12" s="150"/>
      <c r="T12" s="149">
        <f>9308329.85-T93</f>
        <v>8559891.2699999996</v>
      </c>
      <c r="U12" s="144">
        <f t="shared" si="7"/>
        <v>9.309021332771783E-3</v>
      </c>
      <c r="V12" s="148">
        <f t="shared" si="8"/>
        <v>78949.269999999553</v>
      </c>
      <c r="W12" s="340">
        <v>8426835.4805995505</v>
      </c>
      <c r="X12" s="144">
        <f t="shared" si="9"/>
        <v>1.5789532109268426E-2</v>
      </c>
      <c r="Y12" s="148">
        <f t="shared" si="10"/>
        <v>133055.78940044902</v>
      </c>
    </row>
    <row r="13" spans="1:25" x14ac:dyDescent="0.2">
      <c r="A13" s="141" t="s">
        <v>5</v>
      </c>
      <c r="B13" s="142">
        <f>8468581.79-B94</f>
        <v>7792051.7299999986</v>
      </c>
      <c r="C13" s="145">
        <v>4.4400000000000002E-2</v>
      </c>
      <c r="D13" s="142">
        <f>8430203.73-D94</f>
        <v>7750530.0900000008</v>
      </c>
      <c r="E13" s="133">
        <f t="shared" si="0"/>
        <v>-5.3287171901255093E-3</v>
      </c>
      <c r="F13" s="143">
        <f>7753166.86-F94+2669.42</f>
        <v>7133368.79</v>
      </c>
      <c r="G13" s="145">
        <f t="shared" si="1"/>
        <v>-7.9628269658133854E-2</v>
      </c>
      <c r="H13" s="144"/>
      <c r="I13" s="151">
        <f>7937519-636744</f>
        <v>7300775</v>
      </c>
      <c r="J13" s="144">
        <f t="shared" si="2"/>
        <v>2.3468043631037272E-2</v>
      </c>
      <c r="K13" s="143">
        <v>7456519.54</v>
      </c>
      <c r="L13" s="144">
        <f t="shared" si="3"/>
        <v>2.1332603730425781E-2</v>
      </c>
      <c r="M13" s="143">
        <f>8201329.4-M94</f>
        <v>7541435.3200000003</v>
      </c>
      <c r="N13" s="145">
        <f t="shared" si="4"/>
        <v>1.1388125457792331E-2</v>
      </c>
      <c r="O13" s="149">
        <f>9260120.11-O94</f>
        <v>8517763.1399999987</v>
      </c>
      <c r="P13" s="144">
        <f t="shared" si="5"/>
        <v>0.12946180383073269</v>
      </c>
      <c r="Q13" s="149">
        <f>8502582-Q94</f>
        <v>7818822</v>
      </c>
      <c r="R13" s="187">
        <f t="shared" si="6"/>
        <v>-8.2056888470838474E-2</v>
      </c>
      <c r="S13" s="144"/>
      <c r="T13" s="149">
        <f>8692571.83-T94</f>
        <v>7993372.5999999996</v>
      </c>
      <c r="U13" s="144">
        <f t="shared" si="7"/>
        <v>2.2324411528999999E-2</v>
      </c>
      <c r="V13" s="148">
        <f t="shared" si="8"/>
        <v>174550.59999999963</v>
      </c>
      <c r="W13" s="340">
        <v>7768939.6586006992</v>
      </c>
      <c r="X13" s="144">
        <f t="shared" si="9"/>
        <v>2.8888490741569767E-2</v>
      </c>
      <c r="Y13" s="148">
        <f t="shared" si="10"/>
        <v>224432.94139930047</v>
      </c>
    </row>
    <row r="14" spans="1:25" x14ac:dyDescent="0.2">
      <c r="A14" s="141" t="s">
        <v>6</v>
      </c>
      <c r="B14" s="142">
        <f>8447239.07-B95</f>
        <v>7767988.7200000007</v>
      </c>
      <c r="C14" s="145">
        <v>2.0500000000000001E-2</v>
      </c>
      <c r="D14" s="142">
        <f>8253697.73-D95</f>
        <v>7590931.4700000007</v>
      </c>
      <c r="E14" s="133">
        <f t="shared" si="0"/>
        <v>-2.2793190925230911E-2</v>
      </c>
      <c r="F14" s="143">
        <f>7483712.65-F95</f>
        <v>6887335.9100000001</v>
      </c>
      <c r="G14" s="145">
        <f t="shared" si="1"/>
        <v>-9.2688962188720803E-2</v>
      </c>
      <c r="H14" s="144"/>
      <c r="I14" s="143">
        <f>7379677-I95</f>
        <v>6788772</v>
      </c>
      <c r="J14" s="144">
        <f t="shared" si="2"/>
        <v>-1.4310890493505757E-2</v>
      </c>
      <c r="K14" s="143">
        <v>7169746.9100000001</v>
      </c>
      <c r="L14" s="144">
        <f t="shared" si="3"/>
        <v>5.6118383413082729E-2</v>
      </c>
      <c r="M14" s="143">
        <f>7663265.52-M95</f>
        <v>7047078.1799999997</v>
      </c>
      <c r="N14" s="145">
        <f t="shared" si="4"/>
        <v>-1.7109213412946023E-2</v>
      </c>
      <c r="O14" s="149">
        <f>8195902-O95</f>
        <v>7535998</v>
      </c>
      <c r="P14" s="144">
        <f t="shared" si="5"/>
        <v>6.9379082722195617E-2</v>
      </c>
      <c r="Q14" s="149">
        <f>8632788-Q95</f>
        <v>7944792</v>
      </c>
      <c r="R14" s="187">
        <f t="shared" si="6"/>
        <v>5.4245502719082461E-2</v>
      </c>
      <c r="S14" s="152"/>
      <c r="T14" s="149">
        <f>8779703-T95</f>
        <v>8073909</v>
      </c>
      <c r="U14" s="144">
        <f t="shared" si="7"/>
        <v>1.6251778523591387E-2</v>
      </c>
      <c r="V14" s="148">
        <f t="shared" si="8"/>
        <v>129117</v>
      </c>
      <c r="W14" s="340">
        <v>7894105.998081754</v>
      </c>
      <c r="X14" s="144">
        <f t="shared" si="9"/>
        <v>2.2776866938692953E-2</v>
      </c>
      <c r="Y14" s="148">
        <f t="shared" si="10"/>
        <v>179803.00191824604</v>
      </c>
    </row>
    <row r="15" spans="1:25" x14ac:dyDescent="0.2">
      <c r="A15" s="141" t="s">
        <v>7</v>
      </c>
      <c r="B15" s="142">
        <f>8032996.9-B96</f>
        <v>7385740.3900000006</v>
      </c>
      <c r="C15" s="145">
        <v>-2.52E-2</v>
      </c>
      <c r="D15" s="153">
        <f>8492539.8-D96</f>
        <v>7808652.2800000012</v>
      </c>
      <c r="E15" s="133">
        <f t="shared" si="0"/>
        <v>5.7260595101962464E-2</v>
      </c>
      <c r="F15" s="143">
        <f>7245748.53-F96</f>
        <v>6665415.2700000005</v>
      </c>
      <c r="G15" s="145">
        <f t="shared" si="1"/>
        <v>-0.14640644364817335</v>
      </c>
      <c r="H15" s="144"/>
      <c r="I15" s="143">
        <v>6492101</v>
      </c>
      <c r="J15" s="144">
        <f t="shared" si="2"/>
        <v>-2.6002021326422264E-2</v>
      </c>
      <c r="K15" s="143">
        <v>6576396.2999999998</v>
      </c>
      <c r="L15" s="144">
        <f t="shared" si="3"/>
        <v>1.2984286596896766E-2</v>
      </c>
      <c r="M15" s="143">
        <f>7737094.71-M96</f>
        <v>7114530.7800000003</v>
      </c>
      <c r="N15" s="145">
        <f t="shared" si="4"/>
        <v>8.1828170847915604E-2</v>
      </c>
      <c r="O15" s="149">
        <f>8199093-O96</f>
        <v>7538502.1200000001</v>
      </c>
      <c r="P15" s="144">
        <f t="shared" si="5"/>
        <v>5.959231228457762E-2</v>
      </c>
      <c r="Q15" s="146">
        <f>8246092.14-Q96</f>
        <v>7583391.3999999994</v>
      </c>
      <c r="R15" s="187">
        <f t="shared" si="6"/>
        <v>5.9546683526037203E-3</v>
      </c>
      <c r="T15" s="146">
        <f>8567147-T96</f>
        <v>7878332.79</v>
      </c>
      <c r="U15" s="144">
        <f t="shared" si="7"/>
        <v>3.8893072300079545E-2</v>
      </c>
      <c r="V15" s="148">
        <f t="shared" si="8"/>
        <v>294941.3900000006</v>
      </c>
      <c r="W15" s="340">
        <v>7535011.0533468444</v>
      </c>
      <c r="X15" s="144">
        <f t="shared" si="9"/>
        <v>4.5563534575129995E-2</v>
      </c>
      <c r="Y15" s="148">
        <f t="shared" si="10"/>
        <v>343321.73665315565</v>
      </c>
    </row>
    <row r="16" spans="1:25" x14ac:dyDescent="0.2">
      <c r="A16" s="141" t="s">
        <v>8</v>
      </c>
      <c r="B16" s="142">
        <f>7599070.81-B97</f>
        <v>6986767.4499999993</v>
      </c>
      <c r="C16" s="145">
        <v>4.6199999999999998E-2</v>
      </c>
      <c r="D16" s="142">
        <f>7081894.91-D97</f>
        <v>6511739.1900000004</v>
      </c>
      <c r="E16" s="133">
        <f t="shared" si="0"/>
        <v>-6.7989705310715465E-2</v>
      </c>
      <c r="F16" s="143">
        <f>6653764.93-F97</f>
        <v>6118876.2699999996</v>
      </c>
      <c r="G16" s="145">
        <f t="shared" si="1"/>
        <v>-6.0331488798463506E-2</v>
      </c>
      <c r="H16" s="144"/>
      <c r="I16" s="143">
        <f>6833106-I97</f>
        <v>6284002</v>
      </c>
      <c r="J16" s="144">
        <f t="shared" si="2"/>
        <v>2.6986283545164858E-2</v>
      </c>
      <c r="K16" s="154">
        <v>6653843.96</v>
      </c>
      <c r="L16" s="144">
        <f t="shared" si="3"/>
        <v>5.8854526144326513E-2</v>
      </c>
      <c r="M16" s="154">
        <f>7256253.76-M97</f>
        <v>6672603.8999999994</v>
      </c>
      <c r="N16" s="145">
        <f t="shared" si="4"/>
        <v>2.8194138775685662E-3</v>
      </c>
      <c r="O16" s="146">
        <f>7091035.79-O97</f>
        <v>6521059.8300000001</v>
      </c>
      <c r="P16" s="144">
        <f t="shared" si="5"/>
        <v>-2.2711384082007235E-2</v>
      </c>
      <c r="Q16" s="149">
        <f>7510200.32-Q97</f>
        <v>6907173.75</v>
      </c>
      <c r="R16" s="187">
        <f t="shared" si="6"/>
        <v>5.9210301709499813E-2</v>
      </c>
      <c r="T16" s="149">
        <f>7508208.04-T97</f>
        <v>6903342.9100000001</v>
      </c>
      <c r="U16" s="144">
        <f t="shared" si="7"/>
        <v>-5.5461758146735374E-4</v>
      </c>
      <c r="V16" s="148">
        <f t="shared" si="8"/>
        <v>-3830.839999999851</v>
      </c>
      <c r="W16" s="71">
        <v>6863107.5212123664</v>
      </c>
      <c r="X16" s="144">
        <f t="shared" si="9"/>
        <v>5.8625613343918827E-3</v>
      </c>
      <c r="Y16" s="148">
        <f t="shared" si="10"/>
        <v>40235.388787633739</v>
      </c>
    </row>
    <row r="17" spans="1:25" x14ac:dyDescent="0.2">
      <c r="A17" s="141" t="s">
        <v>9</v>
      </c>
      <c r="B17" s="155">
        <f>9490488.91-B98</f>
        <v>8725120.6099999994</v>
      </c>
      <c r="C17" s="145">
        <v>8.6099999999999996E-2</v>
      </c>
      <c r="D17" s="155">
        <f>8352130.16-D98</f>
        <v>7679716.9800000004</v>
      </c>
      <c r="E17" s="133">
        <f t="shared" si="0"/>
        <v>-0.11981537868964764</v>
      </c>
      <c r="F17" s="143">
        <f>8230222.55-F98</f>
        <v>7568322.9100000001</v>
      </c>
      <c r="G17" s="145">
        <f t="shared" si="1"/>
        <v>-1.450497072875212E-2</v>
      </c>
      <c r="H17" s="144"/>
      <c r="I17" s="143">
        <f>8466798-I98</f>
        <v>7786459</v>
      </c>
      <c r="J17" s="144">
        <f t="shared" si="2"/>
        <v>2.8822249340309858E-2</v>
      </c>
      <c r="K17" s="143">
        <v>8240913.1500000004</v>
      </c>
      <c r="L17" s="144">
        <f t="shared" si="3"/>
        <v>5.8364675136669986E-2</v>
      </c>
      <c r="M17" s="143">
        <f>8408735.78-M98</f>
        <v>7731934.0299999993</v>
      </c>
      <c r="N17" s="145">
        <f t="shared" si="4"/>
        <v>-6.1762466214074996E-2</v>
      </c>
      <c r="O17" s="149">
        <f>8732709-O98</f>
        <v>8030915</v>
      </c>
      <c r="P17" s="144">
        <f t="shared" si="5"/>
        <v>3.8668329145069125E-2</v>
      </c>
      <c r="Q17" s="149">
        <f>9488226-Q98</f>
        <v>8726808.3499999996</v>
      </c>
      <c r="R17" s="187">
        <f t="shared" si="6"/>
        <v>8.6651813647635301E-2</v>
      </c>
      <c r="T17" s="149">
        <f>9066963.46-T98</f>
        <v>8335574.4900000012</v>
      </c>
      <c r="U17" s="144">
        <f t="shared" ref="U17:U19" si="11">+T17/Q17-1</f>
        <v>-4.4831265258621023E-2</v>
      </c>
      <c r="V17" s="148">
        <f t="shared" ref="V17:V19" si="12">+T17-Q17</f>
        <v>-391233.85999999847</v>
      </c>
      <c r="W17" s="340">
        <v>8671133.258094728</v>
      </c>
      <c r="X17" s="144">
        <f t="shared" ref="X17:X19" si="13">+(T17-W17)/W17</f>
        <v>-3.8698375184290243E-2</v>
      </c>
      <c r="Y17" s="148">
        <f t="shared" ref="Y17:Y19" si="14">+T17-W17</f>
        <v>-335558.76809472684</v>
      </c>
    </row>
    <row r="18" spans="1:25" x14ac:dyDescent="0.2">
      <c r="A18" s="141" t="s">
        <v>10</v>
      </c>
      <c r="B18" s="155">
        <f>7265647.81-B99</f>
        <v>6680180.2399999993</v>
      </c>
      <c r="C18" s="145">
        <v>-4.1500000000000002E-2</v>
      </c>
      <c r="D18" s="155">
        <f>6848575.34-D99+10180.47-1301.23</f>
        <v>6307309.7599999988</v>
      </c>
      <c r="E18" s="133">
        <f t="shared" si="0"/>
        <v>-5.581742806388712E-2</v>
      </c>
      <c r="F18" s="143">
        <f>6278178.05-F99</f>
        <v>5774582.6799999997</v>
      </c>
      <c r="G18" s="145">
        <f t="shared" si="1"/>
        <v>-8.4461854621200483E-2</v>
      </c>
      <c r="H18" s="144"/>
      <c r="I18" s="143">
        <f>6204977-I99</f>
        <v>5705183</v>
      </c>
      <c r="J18" s="144">
        <f t="shared" si="2"/>
        <v>-1.2018129074567119E-2</v>
      </c>
      <c r="K18" s="143">
        <v>6242865.2199999997</v>
      </c>
      <c r="L18" s="144">
        <f t="shared" si="3"/>
        <v>9.4244517660520222E-2</v>
      </c>
      <c r="M18" s="143">
        <f>7317920.54-M99</f>
        <v>6728219.1100000003</v>
      </c>
      <c r="N18" s="145">
        <f t="shared" si="4"/>
        <v>7.774537378207258E-2</v>
      </c>
      <c r="O18" s="146">
        <f>6705350.08-O99</f>
        <v>6166993.1799999997</v>
      </c>
      <c r="P18" s="214">
        <f t="shared" si="5"/>
        <v>-8.341374155991188E-2</v>
      </c>
      <c r="Q18" s="146">
        <f>6833094.95-Q99</f>
        <v>6284910.9100000001</v>
      </c>
      <c r="R18" s="187">
        <f t="shared" si="6"/>
        <v>1.9120781644840434E-2</v>
      </c>
      <c r="T18" s="146">
        <f>7514918.45-T99</f>
        <v>6909944.4500000002</v>
      </c>
      <c r="U18" s="144">
        <f t="shared" si="11"/>
        <v>9.9449864755521311E-2</v>
      </c>
      <c r="V18" s="148">
        <f t="shared" si="12"/>
        <v>625033.54</v>
      </c>
      <c r="W18" s="71">
        <v>6244814.579417618</v>
      </c>
      <c r="X18" s="144">
        <f t="shared" si="13"/>
        <v>0.10650914644841404</v>
      </c>
      <c r="Y18" s="148">
        <f t="shared" si="14"/>
        <v>665129.87058238219</v>
      </c>
    </row>
    <row r="19" spans="1:25" x14ac:dyDescent="0.2">
      <c r="A19" s="141" t="s">
        <v>11</v>
      </c>
      <c r="B19" s="155">
        <f>6503105.92-B100</f>
        <v>5957049.2699999996</v>
      </c>
      <c r="C19" s="145">
        <v>-4.6800000000000001E-2</v>
      </c>
      <c r="D19" s="155">
        <f>6566456.7-D100</f>
        <v>6038594.2599999998</v>
      </c>
      <c r="E19" s="133">
        <f t="shared" si="0"/>
        <v>1.3688822486438879E-2</v>
      </c>
      <c r="F19" s="143">
        <f>6181542.23-F100</f>
        <v>5685314.2300000004</v>
      </c>
      <c r="G19" s="145">
        <f t="shared" si="1"/>
        <v>-5.8503687247236758E-2</v>
      </c>
      <c r="H19" s="144"/>
      <c r="I19" s="143">
        <f>6275361-I100</f>
        <v>5775585</v>
      </c>
      <c r="J19" s="144">
        <f t="shared" si="2"/>
        <v>1.5877885785743118E-2</v>
      </c>
      <c r="K19" s="143">
        <v>6318974.0899999999</v>
      </c>
      <c r="L19" s="144">
        <f t="shared" si="3"/>
        <v>9.4083818349136816E-2</v>
      </c>
      <c r="M19" s="143">
        <f>6338540.86-M100</f>
        <v>5828888.4100000001</v>
      </c>
      <c r="N19" s="145">
        <f t="shared" si="4"/>
        <v>-7.7557792296628958E-2</v>
      </c>
      <c r="O19" s="149">
        <f>7389419.43-O100</f>
        <v>6796119.5199999996</v>
      </c>
      <c r="P19" s="214">
        <f t="shared" si="5"/>
        <v>0.16593748961476495</v>
      </c>
      <c r="Q19" s="146">
        <f>6704127.73-Q100</f>
        <v>6166544.2100000009</v>
      </c>
      <c r="R19" s="187">
        <f t="shared" si="6"/>
        <v>-9.2637468800725098E-2</v>
      </c>
      <c r="T19" s="146">
        <f>7565260.52-T100</f>
        <v>6954678.5199999996</v>
      </c>
      <c r="U19" s="144">
        <f t="shared" si="11"/>
        <v>0.12780810177634305</v>
      </c>
      <c r="V19" s="148">
        <f t="shared" si="12"/>
        <v>788134.30999999866</v>
      </c>
      <c r="W19" s="340">
        <v>6127203.0325774821</v>
      </c>
      <c r="X19" s="144">
        <f t="shared" si="13"/>
        <v>0.13504946433518622</v>
      </c>
      <c r="Y19" s="148">
        <f t="shared" si="14"/>
        <v>827475.4874225175</v>
      </c>
    </row>
    <row r="20" spans="1:25" x14ac:dyDescent="0.2">
      <c r="A20" s="141" t="s">
        <v>12</v>
      </c>
      <c r="B20" s="155">
        <v>6903178</v>
      </c>
      <c r="C20" s="145">
        <v>-0.34</v>
      </c>
      <c r="D20" s="156">
        <f>7087814.31-D101</f>
        <v>6517131.0899999999</v>
      </c>
      <c r="E20" s="133">
        <f t="shared" si="0"/>
        <v>-5.5923070504628525E-2</v>
      </c>
      <c r="F20" s="143">
        <f>7152800.51-F101</f>
        <v>6580128.6600000001</v>
      </c>
      <c r="G20" s="145">
        <f t="shared" si="1"/>
        <v>9.6664573920670627E-3</v>
      </c>
      <c r="H20" s="144"/>
      <c r="I20" s="143">
        <f>7415926-I101</f>
        <v>6821323</v>
      </c>
      <c r="J20" s="144">
        <f t="shared" si="2"/>
        <v>3.6654958050622577E-2</v>
      </c>
      <c r="K20" s="143">
        <v>7132859.9000000004</v>
      </c>
      <c r="L20" s="144">
        <f t="shared" si="3"/>
        <v>4.5671037715117713E-2</v>
      </c>
      <c r="M20" s="154">
        <f>8008875.54-643878.24</f>
        <v>7364997.2999999998</v>
      </c>
      <c r="N20" s="145">
        <f t="shared" si="4"/>
        <v>3.2544786138306137E-2</v>
      </c>
      <c r="O20" s="146">
        <f>7904256.8-O101</f>
        <v>7269258.2599999998</v>
      </c>
      <c r="P20" s="214">
        <f t="shared" si="5"/>
        <v>-1.2999195532631069E-2</v>
      </c>
      <c r="Q20" s="146">
        <f>8139861.9-Q101</f>
        <v>7487082.4900000002</v>
      </c>
      <c r="R20" s="187">
        <f t="shared" si="6"/>
        <v>2.9965124667341358E-2</v>
      </c>
      <c r="T20" s="146"/>
      <c r="U20" s="144"/>
      <c r="V20" s="148"/>
      <c r="W20" s="340">
        <v>7439316.5727235992</v>
      </c>
      <c r="X20" s="144"/>
      <c r="Y20" s="148"/>
    </row>
    <row r="21" spans="1:25" ht="13.5" thickBot="1" x14ac:dyDescent="0.25">
      <c r="A21" s="157" t="s">
        <v>13</v>
      </c>
      <c r="B21" s="158">
        <f>7832459.71-B102</f>
        <v>7201011.6699999999</v>
      </c>
      <c r="C21" s="159">
        <v>-4.48E-2</v>
      </c>
      <c r="D21" s="158">
        <f>6658178.49-D102</f>
        <v>6123927.1900000004</v>
      </c>
      <c r="E21" s="159">
        <f t="shared" si="0"/>
        <v>-0.14957405005844127</v>
      </c>
      <c r="F21" s="160">
        <f>6754106.54-F102</f>
        <v>6212278.4299999997</v>
      </c>
      <c r="G21" s="159">
        <f t="shared" si="1"/>
        <v>1.4427219210618958E-2</v>
      </c>
      <c r="H21" s="144"/>
      <c r="I21" s="161">
        <f>7268356.47-I102</f>
        <v>6687665.4499999993</v>
      </c>
      <c r="J21" s="162">
        <f t="shared" si="2"/>
        <v>7.6523778732177528E-2</v>
      </c>
      <c r="K21" s="161">
        <v>6249687.0499999998</v>
      </c>
      <c r="L21" s="162">
        <f t="shared" si="3"/>
        <v>-6.5490476949620624E-2</v>
      </c>
      <c r="M21" s="160">
        <f>7158734.86-574631.47</f>
        <v>6584103.3900000006</v>
      </c>
      <c r="N21" s="159">
        <f t="shared" si="4"/>
        <v>5.3509293717355133E-2</v>
      </c>
      <c r="O21" s="163">
        <f>7589265.54-O102</f>
        <v>6979991.4900000002</v>
      </c>
      <c r="P21" s="273">
        <f t="shared" si="5"/>
        <v>6.012786807103887E-2</v>
      </c>
      <c r="Q21" s="278">
        <f>8548578-Q102</f>
        <v>7863228</v>
      </c>
      <c r="R21" s="342">
        <f t="shared" si="6"/>
        <v>0.12653833622367339</v>
      </c>
      <c r="T21" s="278"/>
      <c r="U21" s="164"/>
      <c r="V21" s="165"/>
      <c r="W21" s="341">
        <v>7813062.3582196226</v>
      </c>
      <c r="X21" s="164"/>
      <c r="Y21" s="165"/>
    </row>
    <row r="22" spans="1:25" x14ac:dyDescent="0.2">
      <c r="A22" s="166"/>
      <c r="F22" s="152"/>
      <c r="H22" s="144"/>
      <c r="I22" s="152"/>
      <c r="M22" s="152"/>
      <c r="N22" s="53"/>
      <c r="O22" s="152"/>
      <c r="R22" s="133"/>
      <c r="U22" s="133"/>
    </row>
    <row r="23" spans="1:25" x14ac:dyDescent="0.2">
      <c r="A23" s="167" t="s">
        <v>14</v>
      </c>
      <c r="B23" s="168">
        <f>SUM(B10:B22)</f>
        <v>88547033.349999994</v>
      </c>
      <c r="C23" s="133">
        <v>2.07E-2</v>
      </c>
      <c r="D23" s="168">
        <f>SUM(D10:D22)</f>
        <v>85689145.140000001</v>
      </c>
      <c r="E23" s="133">
        <f>+(D23-B23)/B23</f>
        <v>-3.2275369392711493E-2</v>
      </c>
      <c r="F23" s="168">
        <f>SUM(F10:F22)</f>
        <v>80021870.699999988</v>
      </c>
      <c r="G23" s="133">
        <f>+(F23-D23)/D23</f>
        <v>-6.6137600401319774E-2</v>
      </c>
      <c r="H23" s="144"/>
      <c r="I23" s="313">
        <f>SUM(I10:I21)</f>
        <v>80454380.450000003</v>
      </c>
      <c r="J23" s="133">
        <f>+(I23-F23)/F23</f>
        <v>5.4048942647377399E-3</v>
      </c>
      <c r="K23" s="313">
        <f>SUM(K10:K22)</f>
        <v>83723413.450000003</v>
      </c>
      <c r="L23" s="133">
        <f>+(K23-I23)/I23</f>
        <v>4.0632131920170664E-2</v>
      </c>
      <c r="M23" s="313">
        <f>SUM(M10:M21)</f>
        <v>84261802.640000001</v>
      </c>
      <c r="N23" s="133">
        <f>+(M23-K23)/K23</f>
        <v>6.4305690345691181E-3</v>
      </c>
      <c r="O23" s="313">
        <f>SUM(O10:O21)</f>
        <v>88029352.280000001</v>
      </c>
      <c r="P23" s="133">
        <f>+(O23-M23)/M23</f>
        <v>4.4712426294705253E-2</v>
      </c>
      <c r="Q23" s="313">
        <f>+SUM(Q10:Q21)</f>
        <v>89602141.689999983</v>
      </c>
      <c r="R23" s="133">
        <f>+(Q23-O23)/O23</f>
        <v>1.7866647535895983E-2</v>
      </c>
      <c r="T23" s="313">
        <f>+SUM(T10:T21)</f>
        <v>77828268.140000001</v>
      </c>
      <c r="U23" s="144">
        <f>+V23/Q42</f>
        <v>0.11673126048473036</v>
      </c>
      <c r="V23" s="313">
        <f>+SUM(V10:V21)</f>
        <v>3576436.9400000013</v>
      </c>
      <c r="W23" s="313">
        <f>SUM(W10:W22)</f>
        <v>89030500.00000003</v>
      </c>
      <c r="X23" s="21"/>
      <c r="Y23" s="169">
        <f>SUM(Y10:Y21)</f>
        <v>4050147.0709432038</v>
      </c>
    </row>
    <row r="24" spans="1:25" ht="11.25" customHeight="1" x14ac:dyDescent="0.2">
      <c r="F24" s="152"/>
      <c r="H24" s="144"/>
      <c r="I24" s="152"/>
      <c r="M24" s="152"/>
      <c r="O24" s="152"/>
      <c r="P24" s="133"/>
      <c r="Q24" s="152"/>
      <c r="R24" s="133"/>
      <c r="T24" s="152"/>
      <c r="U24" s="133"/>
      <c r="V24" s="152"/>
      <c r="Y24" s="75"/>
    </row>
    <row r="25" spans="1:25" ht="15.75" customHeight="1" x14ac:dyDescent="0.2">
      <c r="A25" s="1" t="s">
        <v>18</v>
      </c>
      <c r="B25" s="66"/>
      <c r="D25" s="152"/>
      <c r="F25" s="152"/>
      <c r="H25" s="144"/>
      <c r="I25" s="152"/>
      <c r="M25" s="152"/>
      <c r="O25" s="152"/>
      <c r="P25" s="133"/>
      <c r="Q25" s="133"/>
      <c r="R25" s="133"/>
      <c r="T25" s="133"/>
      <c r="U25" s="133"/>
      <c r="V25" s="152"/>
      <c r="W25" s="66"/>
      <c r="X25" s="152"/>
      <c r="Y25" s="152"/>
    </row>
    <row r="26" spans="1:25" s="1" customFormat="1" hidden="1" x14ac:dyDescent="0.2">
      <c r="A26" s="170" t="s">
        <v>68</v>
      </c>
      <c r="B26" s="194">
        <f>+B10</f>
        <v>7375728.8599999994</v>
      </c>
      <c r="C26" s="172">
        <v>0.15390000000000001</v>
      </c>
      <c r="D26" s="194">
        <f>+D10</f>
        <v>7522492.3700000001</v>
      </c>
      <c r="E26" s="172">
        <f>+(D26-B26)/B26</f>
        <v>1.9898170443320869E-2</v>
      </c>
      <c r="F26" s="194">
        <f>+F10</f>
        <v>6801874.6399999997</v>
      </c>
      <c r="G26" s="172">
        <f>+(F26-D26)/D26</f>
        <v>-9.5795076226843745E-2</v>
      </c>
      <c r="H26" s="207"/>
      <c r="I26" s="194">
        <f>+I10</f>
        <v>6253785</v>
      </c>
      <c r="J26" s="172">
        <f>+(I26-F26)/F26</f>
        <v>-8.0579203382672118E-2</v>
      </c>
      <c r="K26" s="194">
        <f>+K10</f>
        <v>6868167.9900000002</v>
      </c>
      <c r="L26" s="172">
        <f>+(K26-I26)/I26</f>
        <v>9.8241783176108585E-2</v>
      </c>
      <c r="M26" s="279">
        <f>+M10</f>
        <v>6839744.29</v>
      </c>
      <c r="N26" s="172">
        <f>+N10</f>
        <v>-4.1384689543682018E-3</v>
      </c>
      <c r="O26" s="279">
        <f>+O10</f>
        <v>7330377.4700000007</v>
      </c>
      <c r="P26" s="207">
        <f>+O26/M26-1</f>
        <v>7.1732678766562641E-2</v>
      </c>
      <c r="Q26" s="279">
        <f>+Q10</f>
        <v>6798971.6200000001</v>
      </c>
      <c r="R26" s="207">
        <f>+Q26/O26-1</f>
        <v>-7.2493654272895225E-2</v>
      </c>
      <c r="T26" s="279">
        <f>+T10</f>
        <v>7774938.9000000004</v>
      </c>
      <c r="U26" s="207">
        <f>+T26/Q26-1</f>
        <v>0.14354630884604291</v>
      </c>
      <c r="V26" s="279">
        <f>+V10</f>
        <v>975967.28000000026</v>
      </c>
      <c r="W26" s="279">
        <f>+W10</f>
        <v>6755595.6966815004</v>
      </c>
      <c r="X26" s="207">
        <f t="shared" ref="X26" si="15">+(T26-W26)/W26</f>
        <v>0.15088872234009268</v>
      </c>
      <c r="Y26" s="199">
        <f>+Y10</f>
        <v>1019343.2033185</v>
      </c>
    </row>
    <row r="27" spans="1:25" hidden="1" x14ac:dyDescent="0.2">
      <c r="A27" s="170"/>
      <c r="C27" s="172"/>
      <c r="D27" s="1"/>
      <c r="I27" s="173"/>
      <c r="J27" s="173"/>
      <c r="K27" s="174"/>
      <c r="L27" s="70"/>
      <c r="M27" s="175"/>
      <c r="N27" s="176"/>
      <c r="Q27" s="176"/>
      <c r="R27" s="176"/>
      <c r="T27" s="177" t="s">
        <v>123</v>
      </c>
      <c r="U27" s="178"/>
      <c r="V27" s="178"/>
      <c r="W27" s="178"/>
      <c r="X27" s="179">
        <f>+X26</f>
        <v>0.15088872234009268</v>
      </c>
      <c r="Y27" s="205">
        <f>+Y10</f>
        <v>1019343.2033185</v>
      </c>
    </row>
    <row r="28" spans="1:25" hidden="1" x14ac:dyDescent="0.2">
      <c r="A28" s="170"/>
      <c r="C28" s="172"/>
      <c r="D28" s="60"/>
      <c r="G28" s="172"/>
      <c r="H28" s="172"/>
      <c r="I28" s="133"/>
      <c r="J28" s="172"/>
      <c r="K28" s="152"/>
      <c r="M28" s="20"/>
      <c r="N28" s="60"/>
      <c r="Q28" s="60"/>
      <c r="R28" s="60"/>
      <c r="T28" s="181" t="s">
        <v>136</v>
      </c>
      <c r="U28" s="182"/>
      <c r="V28" s="182"/>
      <c r="W28" s="182"/>
      <c r="X28" s="179">
        <f>+U26</f>
        <v>0.14354630884604291</v>
      </c>
      <c r="Y28" s="205">
        <f>+V26</f>
        <v>975967.28000000026</v>
      </c>
    </row>
    <row r="29" spans="1:25" hidden="1" x14ac:dyDescent="0.2">
      <c r="A29" s="170"/>
      <c r="B29" s="1"/>
      <c r="C29" s="172"/>
      <c r="G29" s="60"/>
      <c r="H29" s="201"/>
      <c r="I29" s="133"/>
      <c r="J29" s="172"/>
      <c r="K29" s="152"/>
      <c r="M29" s="20"/>
      <c r="N29" s="60"/>
      <c r="Q29" s="60"/>
      <c r="R29" s="60"/>
      <c r="T29" s="181" t="s">
        <v>137</v>
      </c>
      <c r="U29" s="182"/>
      <c r="V29" s="182"/>
      <c r="W29" s="182"/>
      <c r="X29" s="179">
        <f>+(T26-B26)/B26</f>
        <v>5.4124825841279776E-2</v>
      </c>
      <c r="Y29" s="205">
        <f>+T26-B26</f>
        <v>399210.04000000097</v>
      </c>
    </row>
    <row r="30" spans="1:25" hidden="1" x14ac:dyDescent="0.2">
      <c r="A30" s="170"/>
      <c r="B30" s="1"/>
      <c r="C30" s="172"/>
      <c r="D30" s="60"/>
      <c r="G30" s="172"/>
      <c r="H30" s="207"/>
      <c r="I30" s="152"/>
      <c r="N30" s="53"/>
      <c r="Y30" s="152"/>
    </row>
    <row r="31" spans="1:25" hidden="1" x14ac:dyDescent="0.2">
      <c r="A31" s="170" t="s">
        <v>69</v>
      </c>
      <c r="B31" s="66">
        <f>+B10+B11</f>
        <v>15613475.859999999</v>
      </c>
      <c r="C31" s="133">
        <v>5.4199999999999998E-2</v>
      </c>
      <c r="D31" s="66">
        <f>+D10+D11</f>
        <v>15649264.32</v>
      </c>
      <c r="E31" s="133">
        <f>+(D31-B31)/B31</f>
        <v>2.2921520051590164E-3</v>
      </c>
      <c r="F31" s="66">
        <f>+F10+F11</f>
        <v>14175811.84</v>
      </c>
      <c r="G31" s="173">
        <f>+(F31-D31)/D31</f>
        <v>-9.4154744265959239E-2</v>
      </c>
      <c r="H31" s="214"/>
      <c r="I31" s="66">
        <f>+I10+I11</f>
        <v>13946644</v>
      </c>
      <c r="J31" s="173">
        <f>+(I31-F31)/F31</f>
        <v>-1.6166117509640976E-2</v>
      </c>
      <c r="K31" s="174">
        <f>+K10+K11</f>
        <v>14519603.940000001</v>
      </c>
      <c r="L31" s="173">
        <f>+(K31-I31)/I31</f>
        <v>4.108228043965282E-2</v>
      </c>
      <c r="M31" s="174">
        <f>+M10+M11</f>
        <v>14396971.98</v>
      </c>
      <c r="N31" s="173">
        <f>+(M31-K31)/K31</f>
        <v>-8.4459576519275836E-3</v>
      </c>
      <c r="O31" s="174">
        <f>+O10+O11</f>
        <v>14969090.790000001</v>
      </c>
      <c r="P31" s="144">
        <f>+O31/M31-1</f>
        <v>3.973882916454774E-2</v>
      </c>
      <c r="Q31" s="174">
        <f>+Q10+Q11</f>
        <v>14338446.58</v>
      </c>
      <c r="R31" s="144">
        <f>+Q31/O31-1</f>
        <v>-4.2129760507652159E-2</v>
      </c>
      <c r="T31" s="174">
        <f>+T10+T11</f>
        <v>16219222.110000001</v>
      </c>
      <c r="U31" s="207">
        <f>+T31/Q31-1</f>
        <v>0.13117010406297447</v>
      </c>
      <c r="V31" s="62">
        <f>+V10+V11</f>
        <v>1880775.5300000012</v>
      </c>
      <c r="W31" s="174">
        <f>+W10+W11</f>
        <v>14246970.487125754</v>
      </c>
      <c r="X31" s="21">
        <f>+(T31-W31)/W31</f>
        <v>0.13843305316428275</v>
      </c>
      <c r="Y31" s="62">
        <f>+Y10+Y11</f>
        <v>1972251.622874246</v>
      </c>
    </row>
    <row r="32" spans="1:25" s="60" customFormat="1" hidden="1" x14ac:dyDescent="0.2">
      <c r="A32" s="203"/>
      <c r="C32" s="21"/>
      <c r="F32" s="20"/>
      <c r="G32" s="173"/>
      <c r="H32" s="214"/>
      <c r="I32" s="174"/>
      <c r="J32" s="70"/>
      <c r="K32" s="70"/>
      <c r="L32" s="70"/>
      <c r="M32" s="21"/>
      <c r="N32" s="21"/>
      <c r="O32" s="21"/>
      <c r="P32" s="21"/>
      <c r="Q32" s="74"/>
      <c r="R32" s="74"/>
      <c r="T32" s="74"/>
      <c r="U32" s="74"/>
      <c r="V32" s="74"/>
      <c r="W32" s="173"/>
    </row>
    <row r="33" spans="1:25" s="60" customFormat="1" hidden="1" x14ac:dyDescent="0.2">
      <c r="A33" s="170"/>
      <c r="B33" s="10"/>
      <c r="C33" s="172"/>
      <c r="D33" s="1"/>
      <c r="E33" s="10"/>
      <c r="F33" s="133"/>
      <c r="G33" s="133"/>
      <c r="H33" s="133"/>
      <c r="I33" s="173"/>
      <c r="J33" s="70"/>
      <c r="K33" s="70"/>
      <c r="L33" s="70"/>
      <c r="M33" s="175"/>
      <c r="N33" s="176"/>
      <c r="P33" s="176"/>
      <c r="Q33" s="175"/>
      <c r="R33" s="176"/>
      <c r="T33" s="177" t="s">
        <v>123</v>
      </c>
      <c r="U33" s="178"/>
      <c r="V33" s="178"/>
      <c r="W33" s="178"/>
      <c r="X33" s="179">
        <f>+X31</f>
        <v>0.13843305316428275</v>
      </c>
      <c r="Y33" s="205">
        <f>Y31</f>
        <v>1972251.622874246</v>
      </c>
    </row>
    <row r="34" spans="1:25" s="60" customFormat="1" hidden="1" x14ac:dyDescent="0.2">
      <c r="A34" s="170"/>
      <c r="B34" s="10"/>
      <c r="C34" s="172"/>
      <c r="E34" s="10"/>
      <c r="F34" s="133"/>
      <c r="G34" s="172"/>
      <c r="H34" s="172"/>
      <c r="I34" s="133"/>
      <c r="J34" s="70"/>
      <c r="K34" s="70"/>
      <c r="L34" s="70"/>
      <c r="M34" s="20"/>
      <c r="Q34" s="20"/>
      <c r="T34" s="181" t="s">
        <v>136</v>
      </c>
      <c r="U34" s="182"/>
      <c r="V34" s="182"/>
      <c r="W34" s="180"/>
      <c r="X34" s="179">
        <f>+U31</f>
        <v>0.13117010406297447</v>
      </c>
      <c r="Y34" s="205">
        <f>+V31</f>
        <v>1880775.5300000012</v>
      </c>
    </row>
    <row r="35" spans="1:25" hidden="1" x14ac:dyDescent="0.2">
      <c r="A35" s="170"/>
      <c r="B35" s="1"/>
      <c r="C35" s="172"/>
      <c r="D35" s="60"/>
      <c r="G35" s="172"/>
      <c r="H35" s="207"/>
      <c r="I35" s="152"/>
      <c r="M35" s="20"/>
      <c r="N35" s="60"/>
      <c r="P35" s="60"/>
      <c r="Q35" s="20"/>
      <c r="R35" s="60"/>
      <c r="S35" s="60"/>
      <c r="T35" s="181" t="s">
        <v>137</v>
      </c>
      <c r="U35" s="182"/>
      <c r="V35" s="182"/>
      <c r="W35" s="180"/>
      <c r="X35" s="179">
        <f>+(T31-I31)/I31</f>
        <v>0.16294802606275754</v>
      </c>
      <c r="Y35" s="205">
        <f>+T31-B31</f>
        <v>605746.25000000186</v>
      </c>
    </row>
    <row r="36" spans="1:25" ht="15" hidden="1" customHeight="1" x14ac:dyDescent="0.2">
      <c r="A36" s="170" t="s">
        <v>70</v>
      </c>
      <c r="B36" s="66">
        <f>+B10+B11+B12</f>
        <v>23147945.27</v>
      </c>
      <c r="C36" s="172">
        <v>6.6500000000000004E-2</v>
      </c>
      <c r="D36" s="66">
        <f>+D10+D11+D12</f>
        <v>23360612.829999998</v>
      </c>
      <c r="E36" s="172">
        <f>+(D36-B36)/B36</f>
        <v>9.1873191127515852E-3</v>
      </c>
      <c r="F36" s="66">
        <f>+F10+F11+F12</f>
        <v>21396247.550000001</v>
      </c>
      <c r="G36" s="172">
        <f>+(F36-D36)/D36</f>
        <v>-8.4088773453637078E-2</v>
      </c>
      <c r="H36" s="207"/>
      <c r="I36" s="66">
        <f>+I10+I11+I12</f>
        <v>20812515</v>
      </c>
      <c r="J36" s="21">
        <f>+(I36-F36)/F36</f>
        <v>-2.7282005811341471E-2</v>
      </c>
      <c r="K36" s="66">
        <f>+K10+K11+K12</f>
        <v>21681607.330000002</v>
      </c>
      <c r="L36" s="21">
        <f>+(K36-I36)/I36</f>
        <v>4.1758159934059E-2</v>
      </c>
      <c r="M36" s="66">
        <f>+M10+M11+M12</f>
        <v>21648012.219999999</v>
      </c>
      <c r="N36" s="21">
        <f>+(M36-K36)/K36</f>
        <v>-1.5494750683690722E-3</v>
      </c>
      <c r="O36" s="66">
        <f>+O10+O11+O12</f>
        <v>22672751.740000002</v>
      </c>
      <c r="P36" s="21">
        <f>+(O36-M36)/M36</f>
        <v>4.7336425607394789E-2</v>
      </c>
      <c r="Q36" s="66">
        <f>+Q10+Q11+Q12</f>
        <v>22819388.579999998</v>
      </c>
      <c r="R36" s="144">
        <f>+Q36/O36-1</f>
        <v>6.4675360839105966E-3</v>
      </c>
      <c r="T36" s="66">
        <f>+T10+T11+T12</f>
        <v>24779113.380000003</v>
      </c>
      <c r="U36" s="144">
        <f>+T36/Q36-1</f>
        <v>8.5879811947179086E-2</v>
      </c>
      <c r="V36" s="66">
        <f>+V10+V11+V12</f>
        <v>1959724.8000000007</v>
      </c>
      <c r="W36" s="66">
        <f>+W10+W11+W12</f>
        <v>22673805.967725307</v>
      </c>
      <c r="X36" s="21">
        <f>+(T36-W36)/W36</f>
        <v>9.2851963859594835E-2</v>
      </c>
      <c r="Y36" s="66">
        <f>+Y10+Y11+Y12</f>
        <v>2105307.412274695</v>
      </c>
    </row>
    <row r="37" spans="1:25" s="60" customFormat="1" ht="14.25" hidden="1" customHeight="1" x14ac:dyDescent="0.2">
      <c r="F37" s="20"/>
      <c r="G37" s="173"/>
      <c r="H37" s="214"/>
      <c r="I37" s="174"/>
      <c r="J37" s="70"/>
      <c r="K37" s="70"/>
      <c r="L37" s="70"/>
      <c r="M37" s="21"/>
      <c r="N37" s="21"/>
      <c r="O37" s="21"/>
      <c r="P37" s="21"/>
      <c r="Q37" s="74"/>
      <c r="R37" s="74"/>
      <c r="T37" s="74"/>
      <c r="U37" s="74"/>
      <c r="V37" s="74"/>
      <c r="W37" s="173"/>
      <c r="Y37" s="62"/>
    </row>
    <row r="38" spans="1:25" hidden="1" x14ac:dyDescent="0.2">
      <c r="A38" s="170"/>
      <c r="C38" s="172"/>
      <c r="D38" s="1"/>
      <c r="I38" s="152"/>
      <c r="M38" s="175"/>
      <c r="N38" s="176"/>
      <c r="P38" s="176"/>
      <c r="Q38" s="175"/>
      <c r="R38" s="176"/>
      <c r="S38" s="60"/>
      <c r="T38" s="177" t="s">
        <v>123</v>
      </c>
      <c r="U38" s="178"/>
      <c r="V38" s="178"/>
      <c r="W38" s="178"/>
      <c r="X38" s="179">
        <f>+X36</f>
        <v>9.2851963859594835E-2</v>
      </c>
      <c r="Y38" s="205">
        <f>+Y36</f>
        <v>2105307.412274695</v>
      </c>
    </row>
    <row r="39" spans="1:25" hidden="1" x14ac:dyDescent="0.2">
      <c r="A39" s="170"/>
      <c r="C39" s="172"/>
      <c r="D39" s="60"/>
      <c r="G39" s="172"/>
      <c r="H39" s="172"/>
      <c r="I39" s="152"/>
      <c r="M39" s="20"/>
      <c r="N39" s="60"/>
      <c r="P39" s="60"/>
      <c r="Q39" s="20"/>
      <c r="R39" s="60"/>
      <c r="S39" s="60"/>
      <c r="T39" s="181" t="s">
        <v>136</v>
      </c>
      <c r="U39" s="182"/>
      <c r="V39" s="182"/>
      <c r="W39" s="180"/>
      <c r="X39" s="179">
        <f>+U36</f>
        <v>8.5879811947179086E-2</v>
      </c>
      <c r="Y39" s="205">
        <f>+V36</f>
        <v>1959724.8000000007</v>
      </c>
    </row>
    <row r="40" spans="1:25" hidden="1" x14ac:dyDescent="0.2">
      <c r="B40" s="1"/>
      <c r="D40" s="60"/>
      <c r="H40" s="144"/>
      <c r="I40" s="152"/>
      <c r="M40" s="20"/>
      <c r="N40" s="60"/>
      <c r="P40" s="60"/>
      <c r="Q40" s="20"/>
      <c r="R40" s="60"/>
      <c r="S40" s="60"/>
      <c r="T40" s="181" t="s">
        <v>137</v>
      </c>
      <c r="U40" s="182"/>
      <c r="V40" s="182"/>
      <c r="W40" s="180"/>
      <c r="X40" s="179">
        <f>+(T36-B36)/B36</f>
        <v>7.0467079949165748E-2</v>
      </c>
      <c r="Y40" s="205">
        <f>+T36-B36</f>
        <v>1631168.1100000031</v>
      </c>
    </row>
    <row r="41" spans="1:25" s="60" customFormat="1" hidden="1" x14ac:dyDescent="0.2">
      <c r="B41" s="20"/>
      <c r="F41" s="173"/>
      <c r="G41" s="173"/>
      <c r="H41" s="214"/>
      <c r="I41" s="174"/>
      <c r="J41" s="70"/>
      <c r="K41" s="70"/>
      <c r="L41" s="70"/>
      <c r="M41" s="20"/>
      <c r="O41" s="20"/>
      <c r="W41" s="174"/>
      <c r="X41" s="21"/>
      <c r="Y41" s="202"/>
    </row>
    <row r="42" spans="1:25" s="1" customFormat="1" hidden="1" x14ac:dyDescent="0.2">
      <c r="A42" s="170" t="s">
        <v>72</v>
      </c>
      <c r="B42" s="194">
        <f>+B10+B11+B12+B13</f>
        <v>30939997</v>
      </c>
      <c r="C42" s="172">
        <v>6.08E-2</v>
      </c>
      <c r="D42" s="194">
        <f>+D10+D11+D12+D13</f>
        <v>31111142.919999998</v>
      </c>
      <c r="E42" s="172">
        <f>+(D42-B42)/B42</f>
        <v>5.531542876361561E-3</v>
      </c>
      <c r="F42" s="194">
        <f>+F10+F11+F12+F13</f>
        <v>28529616.34</v>
      </c>
      <c r="G42" s="172">
        <f>+(F42-D42)/D42</f>
        <v>-8.2977555232805256E-2</v>
      </c>
      <c r="H42" s="207"/>
      <c r="I42" s="194">
        <f>+I10+I11+I12+I13</f>
        <v>28113290</v>
      </c>
      <c r="J42" s="21">
        <f>+(I42-F42)/F42</f>
        <v>-1.4592777380475628E-2</v>
      </c>
      <c r="K42" s="194">
        <f>+K10+K11+K12+K13</f>
        <v>29138126.870000001</v>
      </c>
      <c r="L42" s="21">
        <f>+(K42-I42)/I42</f>
        <v>3.6453822017985124E-2</v>
      </c>
      <c r="M42" s="200">
        <f>+M10+M11+M12+M13</f>
        <v>29189447.539999999</v>
      </c>
      <c r="N42" s="21">
        <f>+(M42-K42)/K42</f>
        <v>1.7612892629977784E-3</v>
      </c>
      <c r="O42" s="220">
        <f>+O10+O11+O12+O13</f>
        <v>31190514.880000003</v>
      </c>
      <c r="P42" s="21">
        <f>+(O42-M42)/M42</f>
        <v>6.8554478026959034E-2</v>
      </c>
      <c r="Q42" s="220">
        <f>+Q10+Q11+Q12+Q13</f>
        <v>30638210.579999998</v>
      </c>
      <c r="R42" s="144">
        <f>+Q42/O42-1</f>
        <v>-1.7707444142070039E-2</v>
      </c>
      <c r="T42" s="220">
        <f>+T10+T11+T12+T13</f>
        <v>32772485.980000004</v>
      </c>
      <c r="U42" s="144">
        <f>+T42/Q42-1</f>
        <v>6.9660576110577965E-2</v>
      </c>
      <c r="V42" s="220">
        <f>+V10+V11+V12+V13</f>
        <v>2134275.4000000004</v>
      </c>
      <c r="W42" s="220">
        <f>+W10+W11+W12+W13</f>
        <v>30442745.626326006</v>
      </c>
      <c r="X42" s="21">
        <f>+(T42-W42)/W42</f>
        <v>7.6528588527156577E-2</v>
      </c>
      <c r="Y42" s="220">
        <f>+Y10+Y11+Y12+Y13</f>
        <v>2329740.3536739955</v>
      </c>
    </row>
    <row r="43" spans="1:25" s="60" customFormat="1" hidden="1" x14ac:dyDescent="0.2">
      <c r="B43" s="20"/>
      <c r="F43" s="20"/>
      <c r="G43" s="173"/>
      <c r="H43" s="214"/>
      <c r="I43" s="174"/>
      <c r="J43" s="70"/>
      <c r="K43" s="70"/>
      <c r="L43" s="70"/>
      <c r="M43" s="175"/>
      <c r="N43" s="176"/>
      <c r="P43" s="176"/>
      <c r="Q43" s="175"/>
      <c r="R43" s="176"/>
      <c r="T43" s="177" t="s">
        <v>123</v>
      </c>
      <c r="U43" s="178"/>
      <c r="V43" s="178"/>
      <c r="W43" s="178"/>
      <c r="X43" s="179">
        <f>+X42</f>
        <v>7.6528588527156577E-2</v>
      </c>
      <c r="Y43" s="221">
        <f>+Y42</f>
        <v>2329740.3536739955</v>
      </c>
    </row>
    <row r="44" spans="1:25" s="60" customFormat="1" hidden="1" x14ac:dyDescent="0.2">
      <c r="A44" s="203"/>
      <c r="E44" s="21"/>
      <c r="H44" s="201"/>
      <c r="I44" s="174"/>
      <c r="J44" s="70"/>
      <c r="K44" s="70"/>
      <c r="L44" s="70"/>
      <c r="M44" s="20"/>
      <c r="Q44" s="20"/>
      <c r="T44" s="181" t="s">
        <v>136</v>
      </c>
      <c r="U44" s="182"/>
      <c r="V44" s="182"/>
      <c r="W44" s="180"/>
      <c r="X44" s="179">
        <f>+U36</f>
        <v>8.5879811947179086E-2</v>
      </c>
      <c r="Y44" s="221">
        <f>+V42</f>
        <v>2134275.4000000004</v>
      </c>
    </row>
    <row r="45" spans="1:25" hidden="1" x14ac:dyDescent="0.2">
      <c r="A45" s="170"/>
      <c r="E45" s="172"/>
      <c r="F45" s="60"/>
      <c r="G45" s="10"/>
      <c r="H45" s="140"/>
      <c r="I45" s="152"/>
      <c r="M45" s="20"/>
      <c r="N45" s="60"/>
      <c r="P45" s="60"/>
      <c r="Q45" s="20"/>
      <c r="R45" s="60"/>
      <c r="S45" s="60"/>
      <c r="T45" s="181" t="s">
        <v>137</v>
      </c>
      <c r="U45" s="182"/>
      <c r="V45" s="182"/>
      <c r="W45" s="180"/>
      <c r="X45" s="179">
        <f>+(T42-B42)/B42</f>
        <v>5.9227186738253536E-2</v>
      </c>
      <c r="Y45" s="221">
        <f>+T42-B42</f>
        <v>1832488.9800000042</v>
      </c>
    </row>
    <row r="46" spans="1:25" hidden="1" x14ac:dyDescent="0.2">
      <c r="A46" s="170"/>
      <c r="D46" s="60"/>
      <c r="E46" s="172"/>
      <c r="G46" s="10"/>
      <c r="H46" s="140"/>
      <c r="I46" s="152"/>
      <c r="N46" s="53"/>
    </row>
    <row r="47" spans="1:25" s="60" customFormat="1" hidden="1" x14ac:dyDescent="0.2">
      <c r="A47" s="203" t="s">
        <v>73</v>
      </c>
      <c r="B47" s="204">
        <f>+SUM(B10:B14)</f>
        <v>38707985.719999999</v>
      </c>
      <c r="C47" s="172">
        <v>5.2499999999999998E-2</v>
      </c>
      <c r="D47" s="204">
        <f>+SUM(D10:D14)</f>
        <v>38702074.390000001</v>
      </c>
      <c r="E47" s="172">
        <f>+(D47-B47)/B47</f>
        <v>-1.5271603236496729E-4</v>
      </c>
      <c r="F47" s="204">
        <f>+SUM(F10:F14)</f>
        <v>35416952.25</v>
      </c>
      <c r="G47" s="172">
        <f>+(F47-D47)/D47</f>
        <v>-8.4882327156314497E-2</v>
      </c>
      <c r="H47" s="207"/>
      <c r="I47" s="204">
        <f>+SUM(I10:I14)</f>
        <v>34902062</v>
      </c>
      <c r="J47" s="172">
        <f>+(I47-F47)/F47</f>
        <v>-1.4537960419787391E-2</v>
      </c>
      <c r="K47" s="204">
        <f>+SUM(K10:K14)</f>
        <v>36307873.780000001</v>
      </c>
      <c r="L47" s="172">
        <f>+(K47-I47)/I47</f>
        <v>4.0278760034292566E-2</v>
      </c>
      <c r="M47" s="204">
        <f>+SUM(M10:M14)</f>
        <v>36236525.719999999</v>
      </c>
      <c r="N47" s="172">
        <f>+(M47-K47)/K47</f>
        <v>-1.9650850510366177E-3</v>
      </c>
      <c r="O47" s="204">
        <f>+SUM(O10:O14)</f>
        <v>38726512.880000003</v>
      </c>
      <c r="P47" s="21">
        <f>+(O47-M47)/M47</f>
        <v>6.8714842566314438E-2</v>
      </c>
      <c r="Q47" s="204">
        <f>+SUM(Q10:Q14)</f>
        <v>38583002.579999998</v>
      </c>
      <c r="R47" s="21">
        <f>+(Q47-O47)/O47</f>
        <v>-3.7057377317883744E-3</v>
      </c>
      <c r="T47" s="204">
        <f>+SUM(T10:T14)</f>
        <v>40846394.980000004</v>
      </c>
      <c r="U47" s="144">
        <f>+T47/Q47-1</f>
        <v>5.8662940897535654E-2</v>
      </c>
      <c r="V47" s="222">
        <f>+SUM(V10:V14)</f>
        <v>2263392.4000000004</v>
      </c>
      <c r="W47" s="204">
        <f>+SUM(W10:W14)</f>
        <v>38336851.624407761</v>
      </c>
      <c r="X47" s="21">
        <f>+Y47/W47</f>
        <v>6.5460340358113836E-2</v>
      </c>
      <c r="Y47" s="222">
        <f>+SUM(Y10:Y14)</f>
        <v>2509543.3555922415</v>
      </c>
    </row>
    <row r="48" spans="1:25" s="60" customFormat="1" hidden="1" x14ac:dyDescent="0.2">
      <c r="C48" s="172"/>
      <c r="F48" s="20"/>
      <c r="H48" s="201"/>
      <c r="I48" s="174"/>
      <c r="M48" s="175"/>
      <c r="N48" s="176"/>
      <c r="P48" s="176"/>
      <c r="Q48" s="175"/>
      <c r="R48" s="176"/>
      <c r="T48" s="177" t="s">
        <v>123</v>
      </c>
      <c r="U48" s="178"/>
      <c r="V48" s="178"/>
      <c r="W48" s="178"/>
      <c r="X48" s="179">
        <f>+Y47/W47</f>
        <v>6.5460340358113836E-2</v>
      </c>
      <c r="Y48" s="205">
        <f>+Y47</f>
        <v>2509543.3555922415</v>
      </c>
    </row>
    <row r="49" spans="1:25" s="60" customFormat="1" hidden="1" x14ac:dyDescent="0.2">
      <c r="A49" s="203"/>
      <c r="H49" s="201"/>
      <c r="I49" s="174"/>
      <c r="J49" s="173"/>
      <c r="K49" s="173"/>
      <c r="L49" s="173"/>
      <c r="M49" s="20"/>
      <c r="Q49" s="20"/>
      <c r="T49" s="181" t="s">
        <v>136</v>
      </c>
      <c r="U49" s="182"/>
      <c r="V49" s="182"/>
      <c r="W49" s="180"/>
      <c r="X49" s="179">
        <f>+U47</f>
        <v>5.8662940897535654E-2</v>
      </c>
      <c r="Y49" s="205">
        <f>+V47</f>
        <v>2263392.4000000004</v>
      </c>
    </row>
    <row r="50" spans="1:25" s="60" customFormat="1" hidden="1" x14ac:dyDescent="0.2">
      <c r="A50" s="203"/>
      <c r="F50" s="173"/>
      <c r="H50" s="201"/>
      <c r="I50" s="174"/>
      <c r="J50" s="173"/>
      <c r="K50" s="173"/>
      <c r="L50" s="173"/>
      <c r="M50" s="20"/>
      <c r="Q50" s="20"/>
      <c r="T50" s="181" t="s">
        <v>137</v>
      </c>
      <c r="U50" s="182"/>
      <c r="V50" s="182"/>
      <c r="W50" s="180"/>
      <c r="X50" s="179">
        <f>+(T47-B47)/B47</f>
        <v>5.5244653531405855E-2</v>
      </c>
      <c r="Y50" s="205">
        <f>+T47-B47</f>
        <v>2138409.2600000054</v>
      </c>
    </row>
    <row r="51" spans="1:25" s="60" customFormat="1" hidden="1" x14ac:dyDescent="0.2">
      <c r="A51" s="203"/>
      <c r="F51" s="173"/>
      <c r="H51" s="201"/>
      <c r="I51" s="174"/>
      <c r="J51" s="173"/>
      <c r="K51" s="173"/>
      <c r="L51" s="173"/>
      <c r="M51" s="20"/>
      <c r="O51" s="20"/>
      <c r="R51" s="21"/>
      <c r="U51" s="21"/>
      <c r="W51" s="174"/>
      <c r="X51" s="21"/>
      <c r="Y51" s="223"/>
    </row>
    <row r="52" spans="1:25" s="60" customFormat="1" hidden="1" x14ac:dyDescent="0.2">
      <c r="A52" s="203" t="s">
        <v>74</v>
      </c>
      <c r="B52" s="204">
        <f>+SUM(B10:B15)</f>
        <v>46093726.109999999</v>
      </c>
      <c r="C52" s="172">
        <v>3.9199999999999999E-2</v>
      </c>
      <c r="D52" s="204">
        <f>+SUM(D10:D15)</f>
        <v>46510726.670000002</v>
      </c>
      <c r="E52" s="172">
        <f>+(D52-B52)/B52</f>
        <v>9.0467964990475006E-3</v>
      </c>
      <c r="F52" s="204">
        <f>+SUM(F10:F15)</f>
        <v>42082367.520000003</v>
      </c>
      <c r="G52" s="172">
        <f>+(F52-D52)/D52</f>
        <v>-9.5211566600965303E-2</v>
      </c>
      <c r="H52" s="207"/>
      <c r="I52" s="204">
        <f>+SUM(I10:I15)</f>
        <v>41394163</v>
      </c>
      <c r="J52" s="172">
        <f>+(I52-F52)/F52</f>
        <v>-1.6353750051560863E-2</v>
      </c>
      <c r="K52" s="204">
        <f>+SUM(K10:K15)</f>
        <v>42884270.079999998</v>
      </c>
      <c r="L52" s="172">
        <f>+(K52-I52)/I52</f>
        <v>3.5998000007875466E-2</v>
      </c>
      <c r="M52" s="224">
        <f>+SUM(M10:M15)</f>
        <v>43351056.5</v>
      </c>
      <c r="N52" s="172">
        <f>+(M52-K52)/K52</f>
        <v>1.0884793401618317E-2</v>
      </c>
      <c r="O52" s="224">
        <f>+SUM(O10:O15)</f>
        <v>46265015</v>
      </c>
      <c r="P52" s="21">
        <f>+(O52-M52)/M52</f>
        <v>6.7217704371287934E-2</v>
      </c>
      <c r="Q52" s="224">
        <f>+SUM(Q10:Q15)</f>
        <v>46166393.979999997</v>
      </c>
      <c r="R52" s="21">
        <f>+(Q52-O52)/O52</f>
        <v>-2.1316543396776868E-3</v>
      </c>
      <c r="T52" s="224">
        <f>+SUM(T10:T15)</f>
        <v>48724727.770000003</v>
      </c>
      <c r="U52" s="144">
        <f>+T52/Q52-1</f>
        <v>5.5415499662120338E-2</v>
      </c>
      <c r="V52" s="224">
        <f>+SUM(V10:V15)</f>
        <v>2558333.790000001</v>
      </c>
      <c r="W52" s="222">
        <f>SUM(W10:W15)</f>
        <v>45871862.677754603</v>
      </c>
      <c r="X52" s="173">
        <f>+Y52/W52</f>
        <v>6.2192048146954448E-2</v>
      </c>
      <c r="Y52" s="224">
        <f>+SUM(Y10:Y15)</f>
        <v>2852865.0922453972</v>
      </c>
    </row>
    <row r="53" spans="1:25" s="60" customFormat="1" hidden="1" x14ac:dyDescent="0.2">
      <c r="A53" s="203"/>
      <c r="B53" s="204"/>
      <c r="C53" s="172"/>
      <c r="D53" s="204"/>
      <c r="E53" s="172"/>
      <c r="H53" s="201"/>
      <c r="M53" s="175"/>
      <c r="N53" s="176"/>
      <c r="P53" s="176"/>
      <c r="Q53" s="175"/>
      <c r="R53" s="176"/>
      <c r="T53" s="177" t="s">
        <v>123</v>
      </c>
      <c r="U53" s="178"/>
      <c r="V53" s="178"/>
      <c r="W53" s="178"/>
      <c r="X53" s="179">
        <f>+Y52/W52</f>
        <v>6.2192048146954448E-2</v>
      </c>
      <c r="Y53" s="205">
        <f>+Y52</f>
        <v>2852865.0922453972</v>
      </c>
    </row>
    <row r="54" spans="1:25" s="60" customFormat="1" ht="13.5" hidden="1" customHeight="1" x14ac:dyDescent="0.2">
      <c r="A54" s="203"/>
      <c r="H54" s="201"/>
      <c r="M54" s="20"/>
      <c r="Q54" s="20"/>
      <c r="T54" s="181" t="s">
        <v>136</v>
      </c>
      <c r="U54" s="182"/>
      <c r="V54" s="182"/>
      <c r="W54" s="180"/>
      <c r="X54" s="179">
        <f>+U52</f>
        <v>5.5415499662120338E-2</v>
      </c>
      <c r="Y54" s="205">
        <f>+V52</f>
        <v>2558333.790000001</v>
      </c>
    </row>
    <row r="55" spans="1:25" s="60" customFormat="1" hidden="1" x14ac:dyDescent="0.2">
      <c r="A55" s="203"/>
      <c r="H55" s="201"/>
      <c r="M55" s="20"/>
      <c r="Q55" s="20"/>
      <c r="T55" s="181" t="s">
        <v>137</v>
      </c>
      <c r="U55" s="182"/>
      <c r="V55" s="182"/>
      <c r="W55" s="180"/>
      <c r="X55" s="179">
        <f>+(T52-B52)/B52</f>
        <v>5.7079387631220599E-2</v>
      </c>
      <c r="Y55" s="205">
        <f>+T52-B52</f>
        <v>2631001.6600000039</v>
      </c>
    </row>
    <row r="56" spans="1:25" s="60" customFormat="1" hidden="1" x14ac:dyDescent="0.2">
      <c r="A56" s="203"/>
      <c r="H56" s="201"/>
      <c r="M56" s="20"/>
      <c r="O56" s="20"/>
      <c r="W56" s="174"/>
      <c r="X56" s="21"/>
      <c r="Y56" s="74"/>
    </row>
    <row r="57" spans="1:25" s="60" customFormat="1" hidden="1" x14ac:dyDescent="0.2">
      <c r="A57" s="203" t="s">
        <v>75</v>
      </c>
      <c r="B57" s="204">
        <f>+SUM(B10:B16)</f>
        <v>53080493.560000002</v>
      </c>
      <c r="C57" s="172">
        <v>4.0099999999999997E-2</v>
      </c>
      <c r="D57" s="204">
        <f>+SUM(D10:D16)</f>
        <v>53022465.859999999</v>
      </c>
      <c r="E57" s="172">
        <f>+(D57-B57)/B57</f>
        <v>-1.0932019675817606E-3</v>
      </c>
      <c r="F57" s="204">
        <f>+SUM(F10:F16)</f>
        <v>48201243.790000007</v>
      </c>
      <c r="G57" s="172">
        <f>+(F57-D57)/D57</f>
        <v>-9.0927911250485799E-2</v>
      </c>
      <c r="H57" s="207"/>
      <c r="I57" s="204">
        <f>+SUM(I10:I16)</f>
        <v>47678165</v>
      </c>
      <c r="J57" s="172">
        <f>+(I57-F57)/F57</f>
        <v>-1.0851977021151605E-2</v>
      </c>
      <c r="K57" s="204">
        <f>+SUM(K10:K16)</f>
        <v>49538114.039999999</v>
      </c>
      <c r="L57" s="172">
        <f>+(K57-I57)/I57</f>
        <v>3.9010499670027128E-2</v>
      </c>
      <c r="M57" s="204">
        <f>+SUM(M10:M16)</f>
        <v>50023660.399999999</v>
      </c>
      <c r="N57" s="172">
        <f>+(M57-K57)/K57</f>
        <v>9.8014704315941576E-3</v>
      </c>
      <c r="O57" s="204">
        <f>+SUM(O10:O16)</f>
        <v>52786074.829999998</v>
      </c>
      <c r="P57" s="173">
        <f>+(O57-M57)/M57</f>
        <v>5.5222157033514484E-2</v>
      </c>
      <c r="Q57" s="204">
        <f>+SUM(Q10:Q16)</f>
        <v>53073567.729999997</v>
      </c>
      <c r="R57" s="21">
        <f>+(Q57-O57)/O57</f>
        <v>5.446377684377608E-3</v>
      </c>
      <c r="T57" s="204">
        <f>+SUM(T10:T16)</f>
        <v>55628070.680000007</v>
      </c>
      <c r="U57" s="144">
        <f>+T57/Q57-1</f>
        <v>4.8131359154061082E-2</v>
      </c>
      <c r="V57" s="204">
        <f>+SUM(V10:V16)</f>
        <v>2554502.9500000011</v>
      </c>
      <c r="W57" s="204">
        <f>+SUM(W10:W16)</f>
        <v>52734970.198966973</v>
      </c>
      <c r="X57" s="173">
        <f>+Y57/W57</f>
        <v>5.486113806677953E-2</v>
      </c>
      <c r="Y57" s="222">
        <f>+SUM(Y10:Y16)</f>
        <v>2893100.4810330309</v>
      </c>
    </row>
    <row r="58" spans="1:25" s="60" customFormat="1" hidden="1" x14ac:dyDescent="0.2">
      <c r="A58" s="203"/>
      <c r="B58" s="204"/>
      <c r="C58" s="172"/>
      <c r="D58" s="204"/>
      <c r="E58" s="172"/>
      <c r="F58" s="204"/>
      <c r="G58" s="172"/>
      <c r="H58" s="207"/>
      <c r="I58" s="204"/>
      <c r="M58" s="225"/>
      <c r="Q58" s="225"/>
      <c r="R58" s="74"/>
      <c r="T58" s="226" t="s">
        <v>123</v>
      </c>
      <c r="U58" s="196"/>
      <c r="V58" s="196"/>
      <c r="W58" s="182"/>
      <c r="X58" s="179">
        <f>+Y57/W57</f>
        <v>5.486113806677953E-2</v>
      </c>
      <c r="Y58" s="205">
        <f>+Y57</f>
        <v>2893100.4810330309</v>
      </c>
    </row>
    <row r="59" spans="1:25" s="60" customFormat="1" ht="16.5" hidden="1" customHeight="1" x14ac:dyDescent="0.2">
      <c r="A59" s="203"/>
      <c r="C59" s="172"/>
      <c r="F59" s="208"/>
      <c r="H59" s="201"/>
      <c r="I59" s="174"/>
      <c r="K59" s="172"/>
      <c r="L59" s="172"/>
      <c r="M59" s="20"/>
      <c r="N59" s="21"/>
      <c r="P59" s="21"/>
      <c r="Q59" s="20"/>
      <c r="R59" s="74"/>
      <c r="T59" s="181" t="s">
        <v>136</v>
      </c>
      <c r="U59" s="196"/>
      <c r="V59" s="196"/>
      <c r="W59" s="182"/>
      <c r="X59" s="179">
        <f>+U57</f>
        <v>4.8131359154061082E-2</v>
      </c>
      <c r="Y59" s="205">
        <f>+V57</f>
        <v>2554502.9500000011</v>
      </c>
    </row>
    <row r="60" spans="1:25" s="60" customFormat="1" ht="14.25" hidden="1" customHeight="1" x14ac:dyDescent="0.2">
      <c r="A60" s="203"/>
      <c r="H60" s="201"/>
      <c r="I60" s="174"/>
      <c r="K60" s="173"/>
      <c r="L60" s="173"/>
      <c r="M60" s="20"/>
      <c r="N60" s="173"/>
      <c r="P60" s="173"/>
      <c r="Q60" s="20"/>
      <c r="R60" s="74"/>
      <c r="T60" s="181" t="s">
        <v>137</v>
      </c>
      <c r="U60" s="196"/>
      <c r="V60" s="196"/>
      <c r="W60" s="182"/>
      <c r="X60" s="179">
        <f>+(T57-B57)/B57</f>
        <v>4.7994601201669845E-2</v>
      </c>
      <c r="Y60" s="205">
        <f>+T57-B57</f>
        <v>2547577.1200000048</v>
      </c>
    </row>
    <row r="61" spans="1:25" s="60" customFormat="1" ht="14.25" hidden="1" customHeight="1" x14ac:dyDescent="0.2">
      <c r="A61" s="203"/>
      <c r="H61" s="201"/>
      <c r="I61" s="174"/>
      <c r="J61" s="70"/>
      <c r="K61" s="70"/>
      <c r="L61" s="70"/>
      <c r="M61" s="70"/>
      <c r="N61" s="70"/>
      <c r="O61" s="70"/>
      <c r="P61" s="70"/>
      <c r="Q61" s="74"/>
      <c r="R61" s="74"/>
      <c r="T61" s="74"/>
      <c r="U61" s="74"/>
      <c r="V61" s="74"/>
    </row>
    <row r="62" spans="1:25" s="60" customFormat="1" hidden="1" x14ac:dyDescent="0.2">
      <c r="A62" s="203" t="s">
        <v>76</v>
      </c>
      <c r="B62" s="204">
        <f>+SUM(B10:B17)</f>
        <v>61805614.170000002</v>
      </c>
      <c r="C62" s="172">
        <v>4.6399999999999997E-2</v>
      </c>
      <c r="D62" s="204">
        <f>+SUM(D10:D17)</f>
        <v>60702182.840000004</v>
      </c>
      <c r="E62" s="172">
        <f>+(D62-B62)/B62</f>
        <v>-1.7853254025838899E-2</v>
      </c>
      <c r="F62" s="204">
        <f>+SUM(F10:F17)</f>
        <v>55769566.700000003</v>
      </c>
      <c r="G62" s="172">
        <f>+(F62-D62)/D62</f>
        <v>-8.1259287709660899E-2</v>
      </c>
      <c r="H62" s="207"/>
      <c r="I62" s="204">
        <f>+SUM(I10:I17)</f>
        <v>55464624</v>
      </c>
      <c r="J62" s="21">
        <f>+(I62-F62)/F62</f>
        <v>-5.4679051325676334E-3</v>
      </c>
      <c r="K62" s="204">
        <f>+SUM(K10:K17)</f>
        <v>57779027.189999998</v>
      </c>
      <c r="L62" s="21">
        <f>+(K62-I62)/I62</f>
        <v>4.1727555747966445E-2</v>
      </c>
      <c r="M62" s="174">
        <f>+SUM(M10:M17)</f>
        <v>57755594.43</v>
      </c>
      <c r="N62" s="172">
        <f>+(M62-K62)/K62</f>
        <v>-4.0555823002941623E-4</v>
      </c>
      <c r="O62" s="174">
        <f>+SUM(O10:O17)</f>
        <v>60816989.829999998</v>
      </c>
      <c r="P62" s="173">
        <f>+(O62-M62)/M62</f>
        <v>5.3006040890297153E-2</v>
      </c>
      <c r="Q62" s="204">
        <f>+SUM(Q10:Q17)</f>
        <v>61800376.079999998</v>
      </c>
      <c r="R62" s="21">
        <f>+(Q62-O62)/O62</f>
        <v>1.616959755405244E-2</v>
      </c>
      <c r="T62" s="204">
        <f>+SUM(T10:T17)</f>
        <v>63963645.170000009</v>
      </c>
      <c r="U62" s="144">
        <f>+T62/Q62-1</f>
        <v>3.5004141191627758E-2</v>
      </c>
      <c r="V62" s="204">
        <f>+SUM(V10:V17)</f>
        <v>2163269.0900000026</v>
      </c>
      <c r="W62" s="174">
        <f>+SUM(W10:W17)</f>
        <v>61406103.457061701</v>
      </c>
      <c r="X62" s="173">
        <f>+Y62/W62</f>
        <v>4.1649633651265117E-2</v>
      </c>
      <c r="Y62" s="62">
        <f>+SUM(Y10:Y17)</f>
        <v>2557541.7129383041</v>
      </c>
    </row>
    <row r="63" spans="1:25" s="60" customFormat="1" hidden="1" x14ac:dyDescent="0.2">
      <c r="A63" s="203"/>
      <c r="B63" s="204"/>
      <c r="C63" s="172"/>
      <c r="D63" s="204"/>
      <c r="E63" s="172"/>
      <c r="F63" s="204"/>
      <c r="G63" s="172"/>
      <c r="H63" s="207"/>
      <c r="I63" s="204"/>
      <c r="J63" s="21"/>
      <c r="M63" s="175"/>
      <c r="Q63" s="175"/>
      <c r="R63" s="74"/>
      <c r="T63" s="177" t="s">
        <v>129</v>
      </c>
      <c r="U63" s="196"/>
      <c r="V63" s="196"/>
      <c r="W63" s="182"/>
      <c r="X63" s="179">
        <f>+X62</f>
        <v>4.1649633651265117E-2</v>
      </c>
      <c r="Y63" s="206">
        <f>+Y62</f>
        <v>2557541.7129383041</v>
      </c>
    </row>
    <row r="64" spans="1:25" s="60" customFormat="1" hidden="1" x14ac:dyDescent="0.2">
      <c r="A64" s="203"/>
      <c r="B64" s="204"/>
      <c r="C64" s="172"/>
      <c r="D64" s="204"/>
      <c r="E64" s="172"/>
      <c r="F64" s="204"/>
      <c r="G64" s="172"/>
      <c r="H64" s="207"/>
      <c r="I64" s="204"/>
      <c r="J64" s="21"/>
      <c r="M64" s="20"/>
      <c r="N64" s="21"/>
      <c r="P64" s="21"/>
      <c r="Q64" s="20"/>
      <c r="R64" s="74"/>
      <c r="T64" s="181" t="s">
        <v>138</v>
      </c>
      <c r="U64" s="196"/>
      <c r="V64" s="196"/>
      <c r="W64" s="182"/>
      <c r="X64" s="179">
        <f>+U62</f>
        <v>3.5004141191627758E-2</v>
      </c>
      <c r="Y64" s="206">
        <f>+V62</f>
        <v>2163269.0900000026</v>
      </c>
    </row>
    <row r="65" spans="1:25" s="60" customFormat="1" ht="13.5" hidden="1" customHeight="1" x14ac:dyDescent="0.2">
      <c r="A65" s="203"/>
      <c r="D65" s="20"/>
      <c r="H65" s="201"/>
      <c r="I65" s="174"/>
      <c r="K65" s="21"/>
      <c r="L65" s="21"/>
      <c r="M65" s="20"/>
      <c r="N65" s="173"/>
      <c r="P65" s="173"/>
      <c r="Q65" s="20"/>
      <c r="R65" s="74"/>
      <c r="T65" s="181" t="s">
        <v>139</v>
      </c>
      <c r="U65" s="196"/>
      <c r="V65" s="196"/>
      <c r="W65" s="182"/>
      <c r="X65" s="179">
        <f>+(T62-B62)/B62</f>
        <v>3.4916423515576035E-2</v>
      </c>
      <c r="Y65" s="206">
        <f>+T62-B62</f>
        <v>2158031.0000000075</v>
      </c>
    </row>
    <row r="66" spans="1:25" s="60" customFormat="1" ht="14.25" hidden="1" customHeight="1" x14ac:dyDescent="0.2">
      <c r="A66" s="203"/>
      <c r="B66" s="208"/>
      <c r="H66" s="201"/>
      <c r="I66" s="174"/>
      <c r="J66" s="173"/>
      <c r="K66" s="173"/>
      <c r="L66" s="173"/>
      <c r="M66" s="173"/>
      <c r="N66" s="144"/>
      <c r="O66" s="173"/>
      <c r="P66" s="144"/>
      <c r="Q66" s="74"/>
      <c r="R66" s="74"/>
      <c r="T66" s="74"/>
      <c r="U66" s="74"/>
      <c r="V66" s="74"/>
      <c r="X66" s="144"/>
      <c r="Y66" s="62"/>
    </row>
    <row r="67" spans="1:25" s="60" customFormat="1" ht="12.75" hidden="1" customHeight="1" x14ac:dyDescent="0.2">
      <c r="A67" s="203" t="s">
        <v>77</v>
      </c>
      <c r="B67" s="224">
        <f>+B62+B18</f>
        <v>68485794.409999996</v>
      </c>
      <c r="C67" s="21">
        <v>3.7100000000000001E-2</v>
      </c>
      <c r="D67" s="224">
        <f>+D62+D18</f>
        <v>67009492.600000001</v>
      </c>
      <c r="E67" s="21">
        <f>+(D67-B67)/B67</f>
        <v>-2.1556321609732716E-2</v>
      </c>
      <c r="F67" s="224">
        <f>+F62+F18</f>
        <v>61544149.380000003</v>
      </c>
      <c r="G67" s="21">
        <f>+(F67-D67)/D67</f>
        <v>-8.1560731292569119E-2</v>
      </c>
      <c r="H67" s="213"/>
      <c r="I67" s="224">
        <f>+SUM(I10:I18)</f>
        <v>61169807</v>
      </c>
      <c r="J67" s="21">
        <f>+(I67-F67)/F67</f>
        <v>-6.082501485050221E-3</v>
      </c>
      <c r="K67" s="224">
        <f>+SUM(K10:K18)</f>
        <v>64021892.409999996</v>
      </c>
      <c r="L67" s="21">
        <f>+(K67-I67)/I67</f>
        <v>4.6625705554375813E-2</v>
      </c>
      <c r="M67" s="224">
        <f>+SUM(M10:M18)</f>
        <v>64483813.539999999</v>
      </c>
      <c r="N67" s="21">
        <f>+(M67-K67)/K67</f>
        <v>7.2150496121206843E-3</v>
      </c>
      <c r="O67" s="224">
        <f>+SUM(O10:O18)</f>
        <v>66983983.009999998</v>
      </c>
      <c r="P67" s="21">
        <f>+(O67-M67)/M67</f>
        <v>3.8772047320822872E-2</v>
      </c>
      <c r="Q67" s="224">
        <f>+SUM(Q10:Q18)</f>
        <v>68085286.989999995</v>
      </c>
      <c r="R67" s="21">
        <f>+(Q67-O67)/O67</f>
        <v>1.6441303286422723E-2</v>
      </c>
      <c r="T67" s="224">
        <f>+SUM(T10:T18)</f>
        <v>70873589.620000005</v>
      </c>
      <c r="U67" s="144">
        <f>+T67/Q67-1</f>
        <v>4.0953086243280978E-2</v>
      </c>
      <c r="V67" s="224">
        <f>+SUM(V10:V18)</f>
        <v>2788302.6300000027</v>
      </c>
      <c r="W67" s="224">
        <f>+SUM(W10:W18)</f>
        <v>67650918.036479324</v>
      </c>
      <c r="X67" s="173">
        <f>+Y67/W67</f>
        <v>4.7636775332197692E-2</v>
      </c>
      <c r="Y67" s="222">
        <f>+SUM(Y10:Y18)</f>
        <v>3222671.5835206863</v>
      </c>
    </row>
    <row r="68" spans="1:25" s="60" customFormat="1" ht="12.75" hidden="1" customHeight="1" x14ac:dyDescent="0.2">
      <c r="A68" s="203"/>
      <c r="H68" s="201"/>
      <c r="I68" s="20"/>
      <c r="K68" s="173"/>
      <c r="L68" s="173"/>
      <c r="M68" s="175"/>
      <c r="O68" s="175"/>
      <c r="Q68" s="175"/>
      <c r="R68" s="74"/>
      <c r="T68" s="177" t="s">
        <v>186</v>
      </c>
      <c r="U68" s="196"/>
      <c r="V68" s="196"/>
      <c r="W68" s="182"/>
      <c r="X68" s="179">
        <f>+X67</f>
        <v>4.7636775332197692E-2</v>
      </c>
      <c r="Y68" s="206">
        <f>+Y67</f>
        <v>3222671.5835206863</v>
      </c>
    </row>
    <row r="69" spans="1:25" s="60" customFormat="1" ht="12.75" hidden="1" customHeight="1" x14ac:dyDescent="0.2">
      <c r="A69" s="203"/>
      <c r="H69" s="201"/>
      <c r="I69" s="20"/>
      <c r="K69" s="173"/>
      <c r="L69" s="173"/>
      <c r="M69" s="20"/>
      <c r="N69" s="21"/>
      <c r="O69" s="20"/>
      <c r="P69" s="21"/>
      <c r="Q69" s="20"/>
      <c r="R69" s="74"/>
      <c r="T69" s="181" t="s">
        <v>138</v>
      </c>
      <c r="U69" s="196"/>
      <c r="V69" s="196"/>
      <c r="W69" s="182"/>
      <c r="X69" s="179">
        <f>+U67</f>
        <v>4.0953086243280978E-2</v>
      </c>
      <c r="Y69" s="206">
        <f>+V67</f>
        <v>2788302.6300000027</v>
      </c>
    </row>
    <row r="70" spans="1:25" s="60" customFormat="1" ht="12.75" hidden="1" customHeight="1" x14ac:dyDescent="0.2">
      <c r="A70" s="203"/>
      <c r="H70" s="201"/>
      <c r="I70" s="20"/>
      <c r="K70" s="173"/>
      <c r="L70" s="173"/>
      <c r="M70" s="20"/>
      <c r="N70" s="173"/>
      <c r="O70" s="20"/>
      <c r="P70" s="173"/>
      <c r="Q70" s="20"/>
      <c r="R70" s="74"/>
      <c r="T70" s="181" t="s">
        <v>139</v>
      </c>
      <c r="U70" s="196"/>
      <c r="V70" s="196"/>
      <c r="W70" s="182"/>
      <c r="X70" s="179">
        <f>+(T67-$B$67)/$B$67</f>
        <v>3.4865554682846064E-2</v>
      </c>
      <c r="Y70" s="206">
        <f>+T67-$B$67</f>
        <v>2387795.2100000083</v>
      </c>
    </row>
    <row r="71" spans="1:25" s="60" customFormat="1" hidden="1" x14ac:dyDescent="0.2">
      <c r="A71" s="203"/>
      <c r="B71" s="208"/>
      <c r="H71" s="201"/>
      <c r="K71" s="173"/>
      <c r="L71" s="173"/>
      <c r="N71" s="174"/>
      <c r="P71" s="174"/>
      <c r="Q71" s="173"/>
      <c r="R71" s="173"/>
      <c r="T71" s="173"/>
      <c r="U71" s="173"/>
      <c r="V71" s="173"/>
      <c r="W71" s="173"/>
      <c r="X71" s="173"/>
      <c r="Y71" s="74"/>
    </row>
    <row r="72" spans="1:25" s="60" customFormat="1" ht="14.25" customHeight="1" x14ac:dyDescent="0.2">
      <c r="A72" s="203" t="s">
        <v>78</v>
      </c>
      <c r="B72" s="204">
        <f>+B67+B19</f>
        <v>74442843.679999992</v>
      </c>
      <c r="C72" s="21">
        <v>2.9899999999999999E-2</v>
      </c>
      <c r="D72" s="204">
        <f>+D67+D19</f>
        <v>73048086.859999999</v>
      </c>
      <c r="E72" s="21">
        <f>+(D72-B72)/B72</f>
        <v>-1.873594224846507E-2</v>
      </c>
      <c r="F72" s="204">
        <f>+F67+F19</f>
        <v>67229463.609999999</v>
      </c>
      <c r="G72" s="21">
        <f>+(F72-D72)/D72</f>
        <v>-7.9654697338640196E-2</v>
      </c>
      <c r="H72" s="213"/>
      <c r="I72" s="174">
        <f>+SUM(I10:I19)</f>
        <v>66945392</v>
      </c>
      <c r="J72" s="21">
        <f>+(I72-F72)/F72</f>
        <v>-4.2254034874933226E-3</v>
      </c>
      <c r="K72" s="174">
        <f>+SUM(K10:K19)</f>
        <v>70340866.5</v>
      </c>
      <c r="L72" s="21">
        <f>+(K72-I72)/I72</f>
        <v>5.0720063002992054E-2</v>
      </c>
      <c r="M72" s="174">
        <f>+SUM(M10:M19)</f>
        <v>70312701.950000003</v>
      </c>
      <c r="N72" s="21">
        <f>+(M72-K72)/K72</f>
        <v>-4.0040095326373355E-4</v>
      </c>
      <c r="O72" s="174">
        <f>+SUM(O10:O19)</f>
        <v>73780102.530000001</v>
      </c>
      <c r="P72" s="21">
        <f>+(O72-M72)/M72</f>
        <v>4.9313999943647421E-2</v>
      </c>
      <c r="Q72" s="224">
        <f>+SUM(Q10:Q19)</f>
        <v>74251831.199999988</v>
      </c>
      <c r="R72" s="21">
        <f>+(Q72-O72)/O72</f>
        <v>6.3937112286903582E-3</v>
      </c>
      <c r="T72" s="224">
        <f>+SUM(T10:T19)</f>
        <v>77828268.140000001</v>
      </c>
      <c r="U72" s="21">
        <f>+(T72-Q72)/Q72</f>
        <v>4.8166312967645883E-2</v>
      </c>
      <c r="V72" s="224">
        <f>+SUM(V10:V19)</f>
        <v>3576436.9400000013</v>
      </c>
      <c r="W72" s="174">
        <f>+SUM(W10:W19)</f>
        <v>73778121.069056809</v>
      </c>
      <c r="X72" s="173">
        <f>+Y72/W72</f>
        <v>5.4896316309712458E-2</v>
      </c>
      <c r="Y72" s="62">
        <f>+SUM(Y10:Y19)</f>
        <v>4050147.0709432038</v>
      </c>
    </row>
    <row r="73" spans="1:25" s="60" customFormat="1" ht="14.25" customHeight="1" x14ac:dyDescent="0.2">
      <c r="A73" s="203"/>
      <c r="D73" s="20"/>
      <c r="F73" s="208"/>
      <c r="H73" s="201"/>
      <c r="I73" s="174"/>
      <c r="K73" s="21"/>
      <c r="L73" s="21"/>
      <c r="M73" s="175"/>
      <c r="N73" s="21"/>
      <c r="O73" s="175"/>
      <c r="P73" s="21"/>
      <c r="Q73" s="175"/>
      <c r="R73" s="74"/>
      <c r="T73" s="177" t="s">
        <v>186</v>
      </c>
      <c r="U73" s="196"/>
      <c r="V73" s="196"/>
      <c r="W73" s="182"/>
      <c r="X73" s="179">
        <f>+X72</f>
        <v>5.4896316309712458E-2</v>
      </c>
      <c r="Y73" s="206">
        <f>+Y72</f>
        <v>4050147.0709432038</v>
      </c>
    </row>
    <row r="74" spans="1:25" s="60" customFormat="1" x14ac:dyDescent="0.2">
      <c r="A74" s="203"/>
      <c r="B74" s="208"/>
      <c r="F74" s="208"/>
      <c r="H74" s="201"/>
      <c r="I74" s="174"/>
      <c r="J74" s="173"/>
      <c r="K74" s="173"/>
      <c r="L74" s="173"/>
      <c r="M74" s="20"/>
      <c r="N74" s="173"/>
      <c r="O74" s="20"/>
      <c r="P74" s="173"/>
      <c r="Q74" s="20"/>
      <c r="R74" s="74"/>
      <c r="T74" s="181" t="s">
        <v>138</v>
      </c>
      <c r="U74" s="196"/>
      <c r="V74" s="196"/>
      <c r="W74" s="182"/>
      <c r="X74" s="179">
        <f>+U72</f>
        <v>4.8166312967645883E-2</v>
      </c>
      <c r="Y74" s="206">
        <f>+V72</f>
        <v>3576436.9400000013</v>
      </c>
    </row>
    <row r="75" spans="1:25" s="60" customFormat="1" x14ac:dyDescent="0.2">
      <c r="F75" s="173"/>
      <c r="G75" s="173"/>
      <c r="H75" s="214"/>
      <c r="J75" s="70"/>
      <c r="K75" s="70"/>
      <c r="L75" s="70"/>
      <c r="M75" s="20"/>
      <c r="N75" s="70"/>
      <c r="O75" s="20"/>
      <c r="P75" s="70"/>
      <c r="Q75" s="20"/>
      <c r="R75" s="74"/>
      <c r="T75" s="181" t="s">
        <v>139</v>
      </c>
      <c r="U75" s="196"/>
      <c r="V75" s="196"/>
      <c r="W75" s="182"/>
      <c r="X75" s="179">
        <f>+(T72-B72)/B72</f>
        <v>4.5476828834650568E-2</v>
      </c>
      <c r="Y75" s="206">
        <f>+T72-B72</f>
        <v>3385424.4600000083</v>
      </c>
    </row>
    <row r="76" spans="1:25" s="60" customFormat="1" hidden="1" x14ac:dyDescent="0.2">
      <c r="A76" s="203" t="s">
        <v>79</v>
      </c>
      <c r="B76" s="204">
        <f>+B72+B20</f>
        <v>81346021.679999992</v>
      </c>
      <c r="C76" s="21">
        <v>2.69E-2</v>
      </c>
      <c r="D76" s="204">
        <f>+D72+D20</f>
        <v>79565217.950000003</v>
      </c>
      <c r="E76" s="21">
        <f>+(D76-B76)/B76</f>
        <v>-2.1891712627389912E-2</v>
      </c>
      <c r="F76" s="204">
        <f>+F72+F20</f>
        <v>73809592.269999996</v>
      </c>
      <c r="G76" s="21">
        <f>+(F76-D76)/D76</f>
        <v>-7.2338464322650758E-2</v>
      </c>
      <c r="H76" s="213"/>
      <c r="I76" s="204">
        <f>+I72+I20</f>
        <v>73766715</v>
      </c>
      <c r="J76" s="21">
        <f>+(I76-F76)/F76</f>
        <v>-5.8091731279517379E-4</v>
      </c>
      <c r="K76" s="204">
        <f>+K72+K20</f>
        <v>77473726.400000006</v>
      </c>
      <c r="L76" s="21">
        <f>+(K76-I76)/I76</f>
        <v>5.0253171772662045E-2</v>
      </c>
      <c r="M76" s="204">
        <f>+M72+M20</f>
        <v>77677699.25</v>
      </c>
      <c r="N76" s="21">
        <f>+(M76-K76)/K76</f>
        <v>2.6328002986054123E-3</v>
      </c>
      <c r="O76" s="204">
        <f>+O72+O20</f>
        <v>81049360.790000007</v>
      </c>
      <c r="P76" s="207">
        <f>+O76/M76-1</f>
        <v>4.3405785348360482E-2</v>
      </c>
      <c r="Q76" s="224">
        <f>+SUM(Q10:Q20)</f>
        <v>81738913.689999983</v>
      </c>
      <c r="R76" s="21">
        <f>+(Q76-O76)/O76</f>
        <v>8.5078141675492928E-3</v>
      </c>
      <c r="T76" s="224">
        <f>+SUM(T10:T20)</f>
        <v>77828268.140000001</v>
      </c>
      <c r="U76" s="21" t="e">
        <f>+(T76-#REF!)/#REF!</f>
        <v>#REF!</v>
      </c>
      <c r="V76" s="224">
        <f>+SUM(V10:V20)</f>
        <v>3576436.9400000013</v>
      </c>
      <c r="W76" s="174">
        <f>+SUM(W10:W20)</f>
        <v>81217437.641780406</v>
      </c>
      <c r="X76" s="173">
        <f>+Y76/W76</f>
        <v>4.9867949402773337E-2</v>
      </c>
      <c r="Y76" s="62">
        <f>+SUM(Y10:Y20)</f>
        <v>4050147.0709432038</v>
      </c>
    </row>
    <row r="77" spans="1:25" s="60" customFormat="1" hidden="1" x14ac:dyDescent="0.2">
      <c r="A77" s="203"/>
      <c r="B77" s="204"/>
      <c r="C77" s="21"/>
      <c r="D77" s="204"/>
      <c r="E77" s="21"/>
      <c r="F77" s="204"/>
      <c r="G77" s="21"/>
      <c r="H77" s="213"/>
      <c r="I77" s="204"/>
      <c r="J77" s="70"/>
      <c r="K77" s="70"/>
      <c r="L77" s="70"/>
      <c r="M77" s="175"/>
      <c r="O77" s="175"/>
      <c r="Q77" s="177" t="s">
        <v>186</v>
      </c>
      <c r="R77" s="196"/>
      <c r="T77" s="177" t="s">
        <v>186</v>
      </c>
      <c r="U77" s="196"/>
      <c r="V77" s="196"/>
      <c r="W77" s="182"/>
      <c r="X77" s="179">
        <f>+X76</f>
        <v>4.9867949402773337E-2</v>
      </c>
      <c r="Y77" s="206">
        <f>+Y76</f>
        <v>4050147.0709432038</v>
      </c>
    </row>
    <row r="78" spans="1:25" s="60" customFormat="1" hidden="1" x14ac:dyDescent="0.2">
      <c r="A78" s="203"/>
      <c r="H78" s="201"/>
      <c r="M78" s="20"/>
      <c r="O78" s="20"/>
      <c r="Q78" s="181" t="s">
        <v>138</v>
      </c>
      <c r="R78" s="196"/>
      <c r="T78" s="181" t="s">
        <v>138</v>
      </c>
      <c r="U78" s="196"/>
      <c r="V78" s="196"/>
      <c r="W78" s="182"/>
      <c r="X78" s="179" t="e">
        <f>+U76</f>
        <v>#REF!</v>
      </c>
      <c r="Y78" s="206">
        <f>+V76</f>
        <v>3576436.9400000013</v>
      </c>
    </row>
    <row r="79" spans="1:25" s="60" customFormat="1" hidden="1" x14ac:dyDescent="0.2">
      <c r="A79" s="203"/>
      <c r="B79" s="208"/>
      <c r="H79" s="201"/>
      <c r="M79" s="20"/>
      <c r="O79" s="20"/>
      <c r="Q79" s="181" t="s">
        <v>139</v>
      </c>
      <c r="R79" s="196"/>
      <c r="T79" s="181" t="s">
        <v>139</v>
      </c>
      <c r="U79" s="196"/>
      <c r="V79" s="196"/>
      <c r="W79" s="182"/>
      <c r="X79" s="179">
        <f>+(T76-I76)/I76</f>
        <v>5.5059428090297916E-2</v>
      </c>
      <c r="Y79" s="206">
        <f>+T76-I76</f>
        <v>4061553.1400000006</v>
      </c>
    </row>
    <row r="80" spans="1:25" s="60" customFormat="1" hidden="1" x14ac:dyDescent="0.2">
      <c r="A80" s="203"/>
      <c r="B80" s="208"/>
      <c r="H80" s="201"/>
      <c r="M80" s="20"/>
      <c r="O80" s="20"/>
      <c r="W80" s="174"/>
      <c r="X80" s="21"/>
      <c r="Y80" s="74"/>
    </row>
    <row r="81" spans="1:25" s="60" customFormat="1" hidden="1" x14ac:dyDescent="0.2">
      <c r="A81" s="231" t="s">
        <v>114</v>
      </c>
      <c r="B81" s="204">
        <f>+B76+B21</f>
        <v>88547033.349999994</v>
      </c>
      <c r="C81" s="21">
        <v>2.07E-2</v>
      </c>
      <c r="D81" s="204">
        <f>+D76+D21</f>
        <v>85689145.140000001</v>
      </c>
      <c r="E81" s="21">
        <f>+(D81-B81)/B81</f>
        <v>-3.2275369392711493E-2</v>
      </c>
      <c r="F81" s="204">
        <f>+F76+F21</f>
        <v>80021870.699999988</v>
      </c>
      <c r="G81" s="21">
        <f>+(F81-D81)/D81</f>
        <v>-6.6137600401319774E-2</v>
      </c>
      <c r="H81" s="213"/>
      <c r="I81" s="204">
        <f>+I76+I21</f>
        <v>80454380.450000003</v>
      </c>
      <c r="J81" s="21">
        <f>+(I81-F81)/F81</f>
        <v>5.4048942647377399E-3</v>
      </c>
      <c r="K81" s="204">
        <f>+K76+K21</f>
        <v>83723413.450000003</v>
      </c>
      <c r="L81" s="21">
        <f>+(K81-I81)/I81</f>
        <v>4.0632131920170664E-2</v>
      </c>
      <c r="M81" s="67">
        <f>+SUM(M10:M21)</f>
        <v>84261802.640000001</v>
      </c>
      <c r="N81" s="21">
        <f>+(M81-K81)/K81</f>
        <v>6.4305690345691181E-3</v>
      </c>
      <c r="O81" s="67">
        <f>+SUM(O10:O21)</f>
        <v>88029352.280000001</v>
      </c>
      <c r="P81" s="207">
        <f>+O81/M81-1</f>
        <v>4.4712426294705176E-2</v>
      </c>
      <c r="Q81" s="67">
        <f>+SUM(Q10:Q21)</f>
        <v>89602141.689999983</v>
      </c>
      <c r="R81" s="21">
        <f>+(Q81-O81)/O81</f>
        <v>1.7866647535895983E-2</v>
      </c>
      <c r="T81" s="67">
        <f>+SUM(T10:T21)</f>
        <v>77828268.140000001</v>
      </c>
      <c r="U81" s="21" t="e">
        <f>+(T81-#REF!)/#REF!</f>
        <v>#REF!</v>
      </c>
      <c r="V81" s="67">
        <f>+SUM(V10:V21)</f>
        <v>3576436.9400000013</v>
      </c>
      <c r="W81" s="67">
        <f>+SUM(W10:W21)</f>
        <v>89030500.00000003</v>
      </c>
      <c r="X81" s="207">
        <f>+(T81-W81)/W81</f>
        <v>-0.12582465402305981</v>
      </c>
      <c r="Y81" s="67">
        <f>+SUM(Y10:Y21)</f>
        <v>4050147.0709432038</v>
      </c>
    </row>
    <row r="82" spans="1:25" s="60" customFormat="1" hidden="1" x14ac:dyDescent="0.2">
      <c r="A82" s="203"/>
      <c r="E82" s="20"/>
      <c r="F82" s="208"/>
      <c r="H82" s="201"/>
      <c r="I82" s="208"/>
      <c r="M82" s="175"/>
      <c r="Q82" s="175"/>
      <c r="T82" s="177" t="s">
        <v>129</v>
      </c>
      <c r="U82" s="182"/>
      <c r="V82" s="182"/>
      <c r="W82" s="182"/>
      <c r="X82" s="179">
        <f>+Y81/W81</f>
        <v>4.5491680614432158E-2</v>
      </c>
      <c r="Y82" s="206">
        <f>+Y81</f>
        <v>4050147.0709432038</v>
      </c>
    </row>
    <row r="83" spans="1:25" s="60" customFormat="1" hidden="1" x14ac:dyDescent="0.2">
      <c r="A83" s="203"/>
      <c r="B83" s="208"/>
      <c r="F83" s="208"/>
      <c r="H83" s="201"/>
      <c r="I83" s="174"/>
      <c r="J83" s="173"/>
      <c r="K83" s="173"/>
      <c r="L83" s="173"/>
      <c r="M83" s="20"/>
      <c r="Q83" s="20"/>
      <c r="T83" s="181" t="s">
        <v>145</v>
      </c>
      <c r="U83" s="182"/>
      <c r="V83" s="182"/>
      <c r="W83" s="227"/>
      <c r="X83" s="179" t="e">
        <f>+U81</f>
        <v>#REF!</v>
      </c>
      <c r="Y83" s="206">
        <f>+SUM(V10:V21)</f>
        <v>3576436.9400000013</v>
      </c>
    </row>
    <row r="84" spans="1:25" s="60" customFormat="1" hidden="1" x14ac:dyDescent="0.2">
      <c r="A84" s="203"/>
      <c r="B84" s="208"/>
      <c r="F84" s="208"/>
      <c r="H84" s="201"/>
      <c r="I84" s="174"/>
      <c r="J84" s="173"/>
      <c r="K84" s="173"/>
      <c r="L84" s="173"/>
      <c r="M84" s="20"/>
      <c r="Q84" s="20"/>
      <c r="T84" s="181" t="s">
        <v>146</v>
      </c>
      <c r="U84" s="182"/>
      <c r="V84" s="182"/>
      <c r="W84" s="180"/>
      <c r="X84" s="179">
        <f>+(T81-I81)/I81</f>
        <v>-3.2641010909680086E-2</v>
      </c>
      <c r="Y84" s="206">
        <f>+T81-I81</f>
        <v>-2626112.3100000024</v>
      </c>
    </row>
    <row r="85" spans="1:25" s="60" customFormat="1" hidden="1" x14ac:dyDescent="0.2">
      <c r="A85" s="203"/>
      <c r="B85" s="208"/>
      <c r="F85" s="208"/>
      <c r="H85" s="201"/>
      <c r="I85" s="174"/>
      <c r="J85" s="173"/>
      <c r="K85" s="173"/>
      <c r="L85" s="173"/>
      <c r="M85" s="20"/>
      <c r="O85" s="20"/>
      <c r="W85" s="174"/>
      <c r="X85" s="21"/>
      <c r="Y85" s="74"/>
    </row>
    <row r="86" spans="1:25" ht="14.25" customHeight="1" x14ac:dyDescent="0.2">
      <c r="A86" s="170"/>
      <c r="B86" s="228"/>
      <c r="D86" s="228"/>
      <c r="H86" s="144"/>
      <c r="I86" s="152"/>
      <c r="P86" s="70"/>
    </row>
    <row r="87" spans="1:25" ht="13.5" thickBot="1" x14ac:dyDescent="0.25">
      <c r="A87" s="229" t="s">
        <v>101</v>
      </c>
      <c r="H87" s="144"/>
      <c r="W87" s="16"/>
      <c r="X87" s="108"/>
      <c r="Y87" s="16"/>
    </row>
    <row r="88" spans="1:25" s="1" customFormat="1" x14ac:dyDescent="0.2">
      <c r="A88" s="116"/>
      <c r="B88" s="119" t="s">
        <v>118</v>
      </c>
      <c r="C88" s="118" t="s">
        <v>16</v>
      </c>
      <c r="D88" s="119" t="s">
        <v>118</v>
      </c>
      <c r="E88" s="118" t="s">
        <v>16</v>
      </c>
      <c r="F88" s="119" t="s">
        <v>118</v>
      </c>
      <c r="G88" s="118" t="s">
        <v>16</v>
      </c>
      <c r="H88" s="12"/>
      <c r="I88" s="117" t="s">
        <v>118</v>
      </c>
      <c r="J88" s="118" t="s">
        <v>16</v>
      </c>
      <c r="K88" s="117" t="s">
        <v>15</v>
      </c>
      <c r="L88" s="119" t="s">
        <v>16</v>
      </c>
      <c r="M88" s="117" t="s">
        <v>15</v>
      </c>
      <c r="N88" s="118" t="s">
        <v>16</v>
      </c>
      <c r="O88" s="117" t="s">
        <v>15</v>
      </c>
      <c r="P88" s="119" t="s">
        <v>16</v>
      </c>
      <c r="Q88" s="117" t="s">
        <v>15</v>
      </c>
      <c r="R88" s="118" t="s">
        <v>16</v>
      </c>
      <c r="T88" s="117" t="s">
        <v>15</v>
      </c>
      <c r="U88" s="119" t="s">
        <v>16</v>
      </c>
      <c r="V88" s="121"/>
      <c r="W88" s="119" t="s">
        <v>119</v>
      </c>
      <c r="X88" s="12" t="s">
        <v>141</v>
      </c>
      <c r="Y88" s="118" t="s">
        <v>122</v>
      </c>
    </row>
    <row r="89" spans="1:25" s="1" customFormat="1" ht="13.5" thickBot="1" x14ac:dyDescent="0.25">
      <c r="A89" s="129" t="s">
        <v>1</v>
      </c>
      <c r="B89" s="216" t="s">
        <v>81</v>
      </c>
      <c r="C89" s="130" t="s">
        <v>120</v>
      </c>
      <c r="D89" s="216" t="s">
        <v>96</v>
      </c>
      <c r="E89" s="130" t="s">
        <v>120</v>
      </c>
      <c r="F89" s="216" t="s">
        <v>100</v>
      </c>
      <c r="G89" s="130" t="s">
        <v>120</v>
      </c>
      <c r="H89" s="12"/>
      <c r="I89" s="129" t="s">
        <v>103</v>
      </c>
      <c r="J89" s="130" t="s">
        <v>120</v>
      </c>
      <c r="K89" s="129" t="s">
        <v>115</v>
      </c>
      <c r="L89" s="216" t="s">
        <v>120</v>
      </c>
      <c r="M89" s="129" t="s">
        <v>135</v>
      </c>
      <c r="N89" s="130" t="s">
        <v>120</v>
      </c>
      <c r="O89" s="129" t="s">
        <v>147</v>
      </c>
      <c r="P89" s="216" t="s">
        <v>120</v>
      </c>
      <c r="Q89" s="129" t="s">
        <v>155</v>
      </c>
      <c r="R89" s="130" t="s">
        <v>120</v>
      </c>
      <c r="T89" s="129" t="s">
        <v>187</v>
      </c>
      <c r="U89" s="331" t="s">
        <v>120</v>
      </c>
      <c r="V89" s="183" t="s">
        <v>121</v>
      </c>
      <c r="W89" s="129" t="s">
        <v>193</v>
      </c>
      <c r="X89" s="12" t="s">
        <v>142</v>
      </c>
      <c r="Y89" s="130" t="s">
        <v>102</v>
      </c>
    </row>
    <row r="90" spans="1:25" x14ac:dyDescent="0.2">
      <c r="A90" s="131"/>
      <c r="B90" s="131"/>
      <c r="C90" s="211"/>
      <c r="D90" s="131"/>
      <c r="F90" s="132"/>
      <c r="G90" s="136"/>
      <c r="H90" s="144"/>
      <c r="I90" s="131"/>
      <c r="K90" s="135"/>
      <c r="L90" s="184"/>
      <c r="M90" s="135"/>
      <c r="N90" s="185"/>
      <c r="O90" s="137"/>
      <c r="Q90" s="275"/>
      <c r="R90" s="276"/>
      <c r="T90" s="275"/>
      <c r="U90" s="274"/>
      <c r="V90" s="276"/>
      <c r="W90" s="138"/>
      <c r="X90" s="138"/>
      <c r="Y90" s="139"/>
    </row>
    <row r="91" spans="1:25" x14ac:dyDescent="0.2">
      <c r="A91" s="141" t="s">
        <v>2</v>
      </c>
      <c r="B91" s="186">
        <v>633957.11</v>
      </c>
      <c r="C91" s="145">
        <v>0.14349999999999999</v>
      </c>
      <c r="D91" s="186">
        <v>654024.63</v>
      </c>
      <c r="E91" s="133">
        <f t="shared" ref="E91:E102" si="16">+D91/B91-1</f>
        <v>3.1654381161526857E-2</v>
      </c>
      <c r="F91" s="143">
        <v>592722.75</v>
      </c>
      <c r="G91" s="145">
        <f t="shared" ref="G91:G102" si="17">+F91/D91-1</f>
        <v>-9.3730231535775643E-2</v>
      </c>
      <c r="H91" s="144"/>
      <c r="I91" s="143">
        <v>545951</v>
      </c>
      <c r="J91" s="133">
        <f t="shared" ref="J91:J102" si="18">+I91/F91-1</f>
        <v>-7.890999628409745E-2</v>
      </c>
      <c r="K91" s="143">
        <v>598653.87</v>
      </c>
      <c r="L91" s="145">
        <f t="shared" ref="L91:L102" si="19">+K91/I91-1</f>
        <v>9.6534066244040151E-2</v>
      </c>
      <c r="M91" s="143">
        <v>600324.32999999996</v>
      </c>
      <c r="N91" s="187">
        <f t="shared" ref="N91:N102" si="20">+M91/K91-1</f>
        <v>2.7903603128798249E-3</v>
      </c>
      <c r="O91" s="146">
        <v>642087.22</v>
      </c>
      <c r="P91" s="133">
        <f t="shared" ref="P91:P102" si="21">+O91/M91-1</f>
        <v>6.9567212110160481E-2</v>
      </c>
      <c r="Q91" s="282">
        <v>592741.19999999995</v>
      </c>
      <c r="R91" s="187">
        <f t="shared" ref="R91:R102" si="22">+Q91/O91-1</f>
        <v>-7.6852518572165351E-2</v>
      </c>
      <c r="T91" s="282">
        <v>679847.91</v>
      </c>
      <c r="U91" s="144">
        <f t="shared" ref="U91:U100" si="23">+T91/Q91-1</f>
        <v>0.14695572030424087</v>
      </c>
      <c r="V91" s="148">
        <f t="shared" ref="V91:V100" si="24">+T91-Q91</f>
        <v>87106.710000000079</v>
      </c>
      <c r="W91" s="92">
        <v>597047.47287803458</v>
      </c>
      <c r="X91" s="144">
        <f t="shared" ref="X91:X100" si="25">+(T91-W91)/W91</f>
        <v>0.13868317157902116</v>
      </c>
      <c r="Y91" s="148">
        <f t="shared" ref="Y91:Y100" si="26">+T91-W91</f>
        <v>82800.437121965457</v>
      </c>
    </row>
    <row r="92" spans="1:25" x14ac:dyDescent="0.2">
      <c r="A92" s="141" t="s">
        <v>3</v>
      </c>
      <c r="B92" s="186">
        <v>714599</v>
      </c>
      <c r="C92" s="145">
        <v>-0.95</v>
      </c>
      <c r="D92" s="186">
        <v>710669.14</v>
      </c>
      <c r="E92" s="133">
        <f t="shared" si="16"/>
        <v>-5.4993919666833646E-3</v>
      </c>
      <c r="F92" s="143">
        <v>641974.63</v>
      </c>
      <c r="G92" s="145">
        <f t="shared" si="17"/>
        <v>-9.6661732068455963E-2</v>
      </c>
      <c r="H92" s="144"/>
      <c r="I92" s="143">
        <v>671821</v>
      </c>
      <c r="J92" s="133">
        <f t="shared" si="18"/>
        <v>4.6491510108429113E-2</v>
      </c>
      <c r="K92" s="143">
        <v>667628.91</v>
      </c>
      <c r="L92" s="145">
        <f t="shared" si="19"/>
        <v>-6.2398912805642359E-3</v>
      </c>
      <c r="M92" s="143">
        <v>659002.09</v>
      </c>
      <c r="N92" s="187">
        <f t="shared" si="20"/>
        <v>-1.2921579444485243E-2</v>
      </c>
      <c r="O92" s="149">
        <v>669004.18999999994</v>
      </c>
      <c r="P92" s="133">
        <f t="shared" si="21"/>
        <v>1.5177645339485846E-2</v>
      </c>
      <c r="Q92" s="281">
        <v>658562.78</v>
      </c>
      <c r="R92" s="187">
        <f t="shared" si="22"/>
        <v>-1.5607391038910956E-2</v>
      </c>
      <c r="T92" s="281">
        <v>738827.04</v>
      </c>
      <c r="U92" s="144">
        <f t="shared" si="23"/>
        <v>0.12187791724275709</v>
      </c>
      <c r="V92" s="148">
        <f t="shared" si="24"/>
        <v>80264.260000000009</v>
      </c>
      <c r="W92" s="92">
        <v>663347.24755176995</v>
      </c>
      <c r="X92" s="144">
        <f t="shared" si="25"/>
        <v>0.11378624502747994</v>
      </c>
      <c r="Y92" s="148">
        <f t="shared" si="26"/>
        <v>75479.792448230088</v>
      </c>
    </row>
    <row r="93" spans="1:25" x14ac:dyDescent="0.2">
      <c r="A93" s="141" t="s">
        <v>4</v>
      </c>
      <c r="B93" s="186">
        <v>653432.43000000005</v>
      </c>
      <c r="C93" s="145">
        <v>9.0399999999999994E-2</v>
      </c>
      <c r="D93" s="186">
        <v>670317.68999999994</v>
      </c>
      <c r="E93" s="133">
        <f t="shared" si="16"/>
        <v>2.5840866208614477E-2</v>
      </c>
      <c r="F93" s="143">
        <v>629159.48</v>
      </c>
      <c r="G93" s="145">
        <f t="shared" si="17"/>
        <v>-6.1401050000634672E-2</v>
      </c>
      <c r="H93" s="144"/>
      <c r="I93" s="143">
        <v>597858</v>
      </c>
      <c r="J93" s="133">
        <f t="shared" si="18"/>
        <v>-4.9751264973389553E-2</v>
      </c>
      <c r="K93" s="143">
        <v>625006.06999999995</v>
      </c>
      <c r="L93" s="145">
        <f t="shared" si="19"/>
        <v>4.540889308163476E-2</v>
      </c>
      <c r="M93" s="143">
        <v>634131.54</v>
      </c>
      <c r="N93" s="187">
        <f t="shared" si="20"/>
        <v>1.460061019887382E-2</v>
      </c>
      <c r="O93" s="149">
        <v>674853.38</v>
      </c>
      <c r="P93" s="133">
        <f t="shared" si="21"/>
        <v>6.4216708098133735E-2</v>
      </c>
      <c r="Q93" s="282">
        <v>740624</v>
      </c>
      <c r="R93" s="187">
        <f t="shared" si="22"/>
        <v>9.7459125121370782E-2</v>
      </c>
      <c r="T93" s="282">
        <v>748438.58</v>
      </c>
      <c r="U93" s="144">
        <f t="shared" si="23"/>
        <v>1.0551345892112485E-2</v>
      </c>
      <c r="V93" s="148">
        <f t="shared" si="24"/>
        <v>7814.5799999999581</v>
      </c>
      <c r="W93" s="92">
        <v>746004.64343092998</v>
      </c>
      <c r="X93" s="144">
        <f t="shared" si="25"/>
        <v>3.2626292483598027E-3</v>
      </c>
      <c r="Y93" s="148">
        <f t="shared" si="26"/>
        <v>2433.9365690699778</v>
      </c>
    </row>
    <row r="94" spans="1:25" x14ac:dyDescent="0.2">
      <c r="A94" s="141" t="s">
        <v>5</v>
      </c>
      <c r="B94" s="186">
        <v>676530.06</v>
      </c>
      <c r="C94" s="145">
        <v>3.8699999999999998E-2</v>
      </c>
      <c r="D94" s="186">
        <v>679673.64</v>
      </c>
      <c r="E94" s="133">
        <f t="shared" si="16"/>
        <v>4.6466227975145991E-3</v>
      </c>
      <c r="F94" s="143">
        <v>622467.49</v>
      </c>
      <c r="G94" s="145">
        <f t="shared" si="17"/>
        <v>-8.4167086426950477E-2</v>
      </c>
      <c r="H94" s="144"/>
      <c r="I94" s="143">
        <v>636744</v>
      </c>
      <c r="J94" s="133">
        <f t="shared" si="18"/>
        <v>2.2935350406813937E-2</v>
      </c>
      <c r="K94" s="143">
        <v>648133.12</v>
      </c>
      <c r="L94" s="145">
        <f t="shared" si="19"/>
        <v>1.7886497556317771E-2</v>
      </c>
      <c r="M94" s="143">
        <v>659894.07999999996</v>
      </c>
      <c r="N94" s="187">
        <f t="shared" si="20"/>
        <v>1.814590187892251E-2</v>
      </c>
      <c r="O94" s="149">
        <v>742356.97</v>
      </c>
      <c r="P94" s="133">
        <f t="shared" si="21"/>
        <v>0.12496382752819968</v>
      </c>
      <c r="Q94" s="282">
        <v>683760</v>
      </c>
      <c r="R94" s="187">
        <f t="shared" si="22"/>
        <v>-7.8933683346436356E-2</v>
      </c>
      <c r="T94" s="282">
        <v>699199.23</v>
      </c>
      <c r="U94" s="144">
        <f t="shared" si="23"/>
        <v>2.2579896454896442E-2</v>
      </c>
      <c r="V94" s="148">
        <f t="shared" si="24"/>
        <v>15439.229999999981</v>
      </c>
      <c r="W94" s="92">
        <v>688727.52569769917</v>
      </c>
      <c r="X94" s="144">
        <f t="shared" si="25"/>
        <v>1.5204422520637174E-2</v>
      </c>
      <c r="Y94" s="148">
        <f t="shared" si="26"/>
        <v>10471.704302300815</v>
      </c>
    </row>
    <row r="95" spans="1:25" x14ac:dyDescent="0.2">
      <c r="A95" s="141" t="s">
        <v>6</v>
      </c>
      <c r="B95" s="186">
        <v>679250.35</v>
      </c>
      <c r="C95" s="145">
        <v>4.4900000000000002E-2</v>
      </c>
      <c r="D95" s="186">
        <v>662766.26</v>
      </c>
      <c r="E95" s="133">
        <f t="shared" si="16"/>
        <v>-2.4268062578105321E-2</v>
      </c>
      <c r="F95" s="143">
        <v>596376.74</v>
      </c>
      <c r="G95" s="145">
        <f t="shared" si="17"/>
        <v>-0.10017033757874161</v>
      </c>
      <c r="H95" s="144"/>
      <c r="I95" s="143">
        <v>590905</v>
      </c>
      <c r="J95" s="133">
        <f t="shared" si="18"/>
        <v>-9.1749721828520148E-3</v>
      </c>
      <c r="K95" s="143">
        <v>625532.23</v>
      </c>
      <c r="L95" s="145">
        <f t="shared" si="19"/>
        <v>5.8600333386923387E-2</v>
      </c>
      <c r="M95" s="143">
        <v>616187.34</v>
      </c>
      <c r="N95" s="187">
        <f t="shared" si="20"/>
        <v>-1.4939102338499821E-2</v>
      </c>
      <c r="O95" s="149">
        <v>659904</v>
      </c>
      <c r="P95" s="133">
        <f t="shared" si="21"/>
        <v>7.094702724661639E-2</v>
      </c>
      <c r="Q95" s="282">
        <v>687996</v>
      </c>
      <c r="R95" s="187">
        <f t="shared" si="22"/>
        <v>4.2569828338667515E-2</v>
      </c>
      <c r="T95" s="282">
        <v>705794</v>
      </c>
      <c r="U95" s="144">
        <f t="shared" si="23"/>
        <v>2.586933644963052E-2</v>
      </c>
      <c r="V95" s="148">
        <f t="shared" si="24"/>
        <v>17798</v>
      </c>
      <c r="W95" s="92">
        <v>692994.30029529985</v>
      </c>
      <c r="X95" s="144">
        <f t="shared" si="25"/>
        <v>1.8470137054873208E-2</v>
      </c>
      <c r="Y95" s="148">
        <f t="shared" si="26"/>
        <v>12799.69970470015</v>
      </c>
    </row>
    <row r="96" spans="1:25" x14ac:dyDescent="0.2">
      <c r="A96" s="141" t="s">
        <v>7</v>
      </c>
      <c r="B96" s="186">
        <v>647256.51</v>
      </c>
      <c r="C96" s="145">
        <v>2.3E-2</v>
      </c>
      <c r="D96" s="188">
        <v>683887.52</v>
      </c>
      <c r="E96" s="133">
        <f t="shared" si="16"/>
        <v>5.659427048481902E-2</v>
      </c>
      <c r="F96" s="143">
        <v>580333.26</v>
      </c>
      <c r="G96" s="145">
        <f t="shared" si="17"/>
        <v>-0.15142001713966069</v>
      </c>
      <c r="H96" s="144"/>
      <c r="I96" s="143">
        <v>566931</v>
      </c>
      <c r="J96" s="133">
        <f t="shared" si="18"/>
        <v>-2.3094075290463256E-2</v>
      </c>
      <c r="K96" s="143">
        <v>573490.16</v>
      </c>
      <c r="L96" s="145">
        <f t="shared" si="19"/>
        <v>1.1569591361206166E-2</v>
      </c>
      <c r="M96" s="143">
        <v>622563.93000000005</v>
      </c>
      <c r="N96" s="187">
        <f t="shared" si="20"/>
        <v>8.5570378400215308E-2</v>
      </c>
      <c r="O96" s="149">
        <v>660590.88</v>
      </c>
      <c r="P96" s="133">
        <f t="shared" si="21"/>
        <v>6.1081196914186675E-2</v>
      </c>
      <c r="Q96" s="281">
        <v>662700.74</v>
      </c>
      <c r="R96" s="187">
        <f t="shared" si="22"/>
        <v>3.1938981658359289E-3</v>
      </c>
      <c r="T96" s="281">
        <v>688814.21</v>
      </c>
      <c r="U96" s="144">
        <f t="shared" si="23"/>
        <v>3.9404618742390429E-2</v>
      </c>
      <c r="V96" s="148">
        <f t="shared" si="24"/>
        <v>26113.469999999972</v>
      </c>
      <c r="W96" s="92">
        <v>667515.26988743746</v>
      </c>
      <c r="X96" s="144">
        <f t="shared" si="25"/>
        <v>3.1907794582967552E-2</v>
      </c>
      <c r="Y96" s="148">
        <f t="shared" si="26"/>
        <v>21298.940112562501</v>
      </c>
    </row>
    <row r="97" spans="1:25" x14ac:dyDescent="0.2">
      <c r="A97" s="141" t="s">
        <v>8</v>
      </c>
      <c r="B97" s="186">
        <v>612303.35999999999</v>
      </c>
      <c r="C97" s="145">
        <v>2.5899999999999999E-2</v>
      </c>
      <c r="D97" s="186">
        <v>570155.72</v>
      </c>
      <c r="E97" s="133">
        <f t="shared" si="16"/>
        <v>-6.8834572457678544E-2</v>
      </c>
      <c r="F97" s="143">
        <v>534888.66</v>
      </c>
      <c r="G97" s="145">
        <f t="shared" si="17"/>
        <v>-6.1855136698444335E-2</v>
      </c>
      <c r="H97" s="144"/>
      <c r="I97" s="143">
        <v>549104</v>
      </c>
      <c r="J97" s="133">
        <f t="shared" si="18"/>
        <v>2.6576259814519165E-2</v>
      </c>
      <c r="K97" s="143">
        <v>580657.24</v>
      </c>
      <c r="L97" s="145">
        <f t="shared" si="19"/>
        <v>5.7463139951630327E-2</v>
      </c>
      <c r="M97" s="154">
        <v>583649.86</v>
      </c>
      <c r="N97" s="187">
        <f t="shared" si="20"/>
        <v>5.1538494551450764E-3</v>
      </c>
      <c r="O97" s="146">
        <v>569975.96</v>
      </c>
      <c r="P97" s="133">
        <f t="shared" si="21"/>
        <v>-2.3428258853690154E-2</v>
      </c>
      <c r="Q97" s="282">
        <v>603026.56999999995</v>
      </c>
      <c r="R97" s="187">
        <f t="shared" si="22"/>
        <v>5.7985971899586763E-2</v>
      </c>
      <c r="T97" s="282">
        <v>604865.13</v>
      </c>
      <c r="U97" s="144">
        <f t="shared" si="23"/>
        <v>3.0488872156992919E-3</v>
      </c>
      <c r="V97" s="148">
        <f t="shared" si="24"/>
        <v>1838.5600000000559</v>
      </c>
      <c r="W97" s="92">
        <v>607407.56623094401</v>
      </c>
      <c r="X97" s="144">
        <f t="shared" si="25"/>
        <v>-4.1857170906187523E-3</v>
      </c>
      <c r="Y97" s="148">
        <f t="shared" si="26"/>
        <v>-2542.4362309440039</v>
      </c>
    </row>
    <row r="98" spans="1:25" x14ac:dyDescent="0.2">
      <c r="A98" s="141" t="s">
        <v>9</v>
      </c>
      <c r="B98" s="186">
        <v>765368.3</v>
      </c>
      <c r="C98" s="145">
        <v>9.2299999999999993E-2</v>
      </c>
      <c r="D98" s="186">
        <v>672413.18</v>
      </c>
      <c r="E98" s="133">
        <f t="shared" si="16"/>
        <v>-0.12145148943325712</v>
      </c>
      <c r="F98" s="143">
        <v>661899.64</v>
      </c>
      <c r="G98" s="145">
        <f t="shared" si="17"/>
        <v>-1.5635535282041979E-2</v>
      </c>
      <c r="H98" s="144"/>
      <c r="I98" s="143">
        <v>680339</v>
      </c>
      <c r="J98" s="144">
        <f t="shared" si="18"/>
        <v>2.7858241469960632E-2</v>
      </c>
      <c r="K98" s="143">
        <v>722983.82</v>
      </c>
      <c r="L98" s="145">
        <f t="shared" si="19"/>
        <v>6.268172190628496E-2</v>
      </c>
      <c r="M98" s="143">
        <v>676801.75</v>
      </c>
      <c r="N98" s="187">
        <f t="shared" si="20"/>
        <v>-6.3877044993897569E-2</v>
      </c>
      <c r="O98" s="149">
        <v>701794</v>
      </c>
      <c r="P98" s="144">
        <f t="shared" si="21"/>
        <v>3.6926987851316984E-2</v>
      </c>
      <c r="Q98" s="282">
        <v>761417.65</v>
      </c>
      <c r="R98" s="187">
        <f t="shared" si="22"/>
        <v>8.4958905319794775E-2</v>
      </c>
      <c r="T98" s="282">
        <v>731388.97</v>
      </c>
      <c r="U98" s="144">
        <f t="shared" si="23"/>
        <v>-3.9437856477322342E-2</v>
      </c>
      <c r="V98" s="148">
        <f t="shared" si="24"/>
        <v>-30028.680000000051</v>
      </c>
      <c r="W98" s="92">
        <v>766949.35958092997</v>
      </c>
      <c r="X98" s="144">
        <f t="shared" si="25"/>
        <v>-4.6366020307208565E-2</v>
      </c>
      <c r="Y98" s="148">
        <f t="shared" si="26"/>
        <v>-35560.389580930001</v>
      </c>
    </row>
    <row r="99" spans="1:25" x14ac:dyDescent="0.2">
      <c r="A99" s="141" t="s">
        <v>10</v>
      </c>
      <c r="B99" s="186">
        <v>585467.56999999995</v>
      </c>
      <c r="C99" s="145">
        <v>-3.5000000000000001E-3</v>
      </c>
      <c r="D99" s="186">
        <v>550144.81999999995</v>
      </c>
      <c r="E99" s="133">
        <f t="shared" si="16"/>
        <v>-6.0332547539738157E-2</v>
      </c>
      <c r="F99" s="143">
        <v>503595.37</v>
      </c>
      <c r="G99" s="145">
        <f t="shared" si="17"/>
        <v>-8.4613084242072811E-2</v>
      </c>
      <c r="H99" s="144"/>
      <c r="I99" s="143">
        <v>499794</v>
      </c>
      <c r="J99" s="133">
        <f t="shared" si="18"/>
        <v>-7.5484609796948599E-3</v>
      </c>
      <c r="K99" s="143">
        <v>543901.80000000005</v>
      </c>
      <c r="L99" s="145">
        <f t="shared" si="19"/>
        <v>8.8251959807440716E-2</v>
      </c>
      <c r="M99" s="143">
        <v>589701.43000000005</v>
      </c>
      <c r="N99" s="187">
        <f t="shared" si="20"/>
        <v>8.4205696690101028E-2</v>
      </c>
      <c r="O99" s="149">
        <v>538356.9</v>
      </c>
      <c r="P99" s="144">
        <f t="shared" si="21"/>
        <v>-8.7068688302146424E-2</v>
      </c>
      <c r="Q99" s="282">
        <v>548184.04</v>
      </c>
      <c r="R99" s="187">
        <f t="shared" si="22"/>
        <v>1.8253950121192908E-2</v>
      </c>
      <c r="T99" s="282">
        <v>604974</v>
      </c>
      <c r="U99" s="144">
        <f t="shared" si="23"/>
        <v>0.1035965220731343</v>
      </c>
      <c r="V99" s="148">
        <f t="shared" si="24"/>
        <v>56789.959999999963</v>
      </c>
      <c r="W99" s="92">
        <v>552166.60450475093</v>
      </c>
      <c r="X99" s="144">
        <f t="shared" si="25"/>
        <v>9.5636706502040383E-2</v>
      </c>
      <c r="Y99" s="148">
        <f t="shared" si="26"/>
        <v>52807.395495249075</v>
      </c>
    </row>
    <row r="100" spans="1:25" x14ac:dyDescent="0.2">
      <c r="A100" s="141" t="s">
        <v>11</v>
      </c>
      <c r="B100" s="186">
        <v>546056.65</v>
      </c>
      <c r="C100" s="145">
        <v>4.9000000000000002E-2</v>
      </c>
      <c r="D100" s="186">
        <v>527862.43999999994</v>
      </c>
      <c r="E100" s="133">
        <f t="shared" si="16"/>
        <v>-3.3319271910707604E-2</v>
      </c>
      <c r="F100" s="143">
        <v>496228</v>
      </c>
      <c r="G100" s="145">
        <f t="shared" si="17"/>
        <v>-5.9929325526551835E-2</v>
      </c>
      <c r="H100" s="144"/>
      <c r="I100" s="143">
        <v>499776</v>
      </c>
      <c r="J100" s="133">
        <f t="shared" si="18"/>
        <v>7.1499391408786916E-3</v>
      </c>
      <c r="K100" s="143">
        <v>551043.30000000005</v>
      </c>
      <c r="L100" s="145">
        <f t="shared" si="19"/>
        <v>0.10258055608912797</v>
      </c>
      <c r="M100" s="143">
        <v>509652.45</v>
      </c>
      <c r="N100" s="187">
        <f t="shared" si="20"/>
        <v>-7.5113607224695511E-2</v>
      </c>
      <c r="O100" s="149">
        <v>593299.91</v>
      </c>
      <c r="P100" s="144">
        <f t="shared" si="21"/>
        <v>0.16412647481631848</v>
      </c>
      <c r="Q100" s="282">
        <v>537583.52</v>
      </c>
      <c r="R100" s="187">
        <f t="shared" si="22"/>
        <v>-9.3909318138949316E-2</v>
      </c>
      <c r="T100" s="281">
        <v>610582</v>
      </c>
      <c r="U100" s="144">
        <f t="shared" si="23"/>
        <v>0.13579002570614507</v>
      </c>
      <c r="V100" s="148">
        <f t="shared" si="24"/>
        <v>72998.479999999981</v>
      </c>
      <c r="W100" s="92">
        <v>541489.07158280618</v>
      </c>
      <c r="X100" s="144">
        <f t="shared" si="25"/>
        <v>0.12759801082454147</v>
      </c>
      <c r="Y100" s="148">
        <f t="shared" si="26"/>
        <v>69092.92841719382</v>
      </c>
    </row>
    <row r="101" spans="1:25" x14ac:dyDescent="0.2">
      <c r="A101" s="141" t="s">
        <v>12</v>
      </c>
      <c r="B101" s="186">
        <v>951790.06</v>
      </c>
      <c r="C101" s="145">
        <v>0.57650000000000001</v>
      </c>
      <c r="D101" s="186">
        <v>570683.22</v>
      </c>
      <c r="E101" s="133">
        <f t="shared" si="16"/>
        <v>-0.40041061155860369</v>
      </c>
      <c r="F101" s="143">
        <v>572671.85</v>
      </c>
      <c r="G101" s="145">
        <f t="shared" si="17"/>
        <v>3.4846477525658504E-3</v>
      </c>
      <c r="H101" s="144"/>
      <c r="I101" s="143">
        <v>594603</v>
      </c>
      <c r="J101" s="133">
        <f t="shared" si="18"/>
        <v>3.8296190043215939E-2</v>
      </c>
      <c r="K101" s="143">
        <v>622468.1</v>
      </c>
      <c r="L101" s="145">
        <f t="shared" si="19"/>
        <v>4.6863369340551575E-2</v>
      </c>
      <c r="M101" s="154">
        <v>643878.24</v>
      </c>
      <c r="N101" s="187">
        <f t="shared" si="20"/>
        <v>3.4395561796660701E-2</v>
      </c>
      <c r="O101" s="146">
        <v>634998.54</v>
      </c>
      <c r="P101" s="144">
        <f t="shared" si="21"/>
        <v>-1.3790961471224716E-2</v>
      </c>
      <c r="Q101" s="282">
        <v>652779.41</v>
      </c>
      <c r="R101" s="187">
        <f t="shared" si="22"/>
        <v>2.8001434459991037E-2</v>
      </c>
      <c r="T101" s="282"/>
      <c r="U101" s="274"/>
      <c r="V101" s="148"/>
      <c r="W101" s="92">
        <v>657521.86129007814</v>
      </c>
      <c r="X101" s="144"/>
      <c r="Y101" s="148"/>
    </row>
    <row r="102" spans="1:25" ht="13.5" thickBot="1" x14ac:dyDescent="0.25">
      <c r="A102" s="157" t="s">
        <v>13</v>
      </c>
      <c r="B102" s="189">
        <v>631448.04</v>
      </c>
      <c r="C102" s="159">
        <v>4.36E-2</v>
      </c>
      <c r="D102" s="189">
        <v>534251.30000000005</v>
      </c>
      <c r="E102" s="159">
        <f t="shared" si="16"/>
        <v>-0.15392674272929885</v>
      </c>
      <c r="F102" s="161">
        <v>541828.11</v>
      </c>
      <c r="G102" s="159">
        <f t="shared" si="17"/>
        <v>1.4182108681813022E-2</v>
      </c>
      <c r="H102" s="144"/>
      <c r="I102" s="161">
        <v>580691.02</v>
      </c>
      <c r="J102" s="162">
        <f t="shared" si="18"/>
        <v>7.1725533029284971E-2</v>
      </c>
      <c r="K102" s="161">
        <v>543011.54</v>
      </c>
      <c r="L102" s="159">
        <f t="shared" si="19"/>
        <v>-6.4887313049890039E-2</v>
      </c>
      <c r="M102" s="160">
        <v>574631.47</v>
      </c>
      <c r="N102" s="190">
        <f t="shared" si="20"/>
        <v>5.8230677749500304E-2</v>
      </c>
      <c r="O102" s="163">
        <v>609274.05000000005</v>
      </c>
      <c r="P102" s="164">
        <f t="shared" si="21"/>
        <v>6.0286604212609562E-2</v>
      </c>
      <c r="Q102" s="330">
        <v>685350</v>
      </c>
      <c r="R102" s="342">
        <f t="shared" si="22"/>
        <v>0.12486326965673311</v>
      </c>
      <c r="T102" s="330"/>
      <c r="U102" s="277"/>
      <c r="V102" s="165"/>
      <c r="W102" s="343">
        <v>690329.07706931978</v>
      </c>
      <c r="X102" s="164"/>
      <c r="Y102" s="165"/>
    </row>
    <row r="103" spans="1:25" x14ac:dyDescent="0.2">
      <c r="A103" s="166"/>
      <c r="B103" s="191"/>
      <c r="D103" s="191"/>
      <c r="H103" s="144"/>
      <c r="I103" s="152"/>
      <c r="M103" s="152"/>
      <c r="N103" s="53"/>
      <c r="O103" s="152"/>
      <c r="R103" s="133"/>
    </row>
    <row r="104" spans="1:25" x14ac:dyDescent="0.2">
      <c r="A104" s="167" t="s">
        <v>14</v>
      </c>
      <c r="B104" s="192">
        <f>SUM(B91:B102)</f>
        <v>8097459.4400000004</v>
      </c>
      <c r="C104" s="133">
        <v>8.7400000000000005E-2</v>
      </c>
      <c r="D104" s="192">
        <f>SUM(D91:D102)</f>
        <v>7486849.5600000005</v>
      </c>
      <c r="E104" s="133">
        <f>+D104/B104-1</f>
        <v>-7.5407587345692195E-2</v>
      </c>
      <c r="F104" s="192">
        <f>SUM(F91:F102)</f>
        <v>6974145.9799999995</v>
      </c>
      <c r="G104" s="133">
        <f>+F104/D104-1</f>
        <v>-6.848055058288105E-2</v>
      </c>
      <c r="H104" s="144"/>
      <c r="I104" s="192">
        <f>SUM(I91:I102)</f>
        <v>7014517.0199999996</v>
      </c>
      <c r="J104" s="133">
        <f>+((I91+I92+I93+I94)-(F91+F92+F93+F94))/(F91+F92+F93+F94)</f>
        <v>-1.3654835500444515E-2</v>
      </c>
      <c r="K104" s="169">
        <f>SUM(K91:K103)</f>
        <v>7302510.1600000001</v>
      </c>
      <c r="L104" s="133">
        <f>+((K91+K92+K93+K94)-(I91+I92+I93+I94))/(I91+I92+I93+I94)</f>
        <v>3.5495389365569938E-2</v>
      </c>
      <c r="M104" s="169">
        <f>SUM(M91:M102)</f>
        <v>7370418.5099999998</v>
      </c>
      <c r="N104" s="133">
        <f>+((M91+M92+M93+M94)-(K91+K92+K93+K94))/(K91+K92+K93+K94)</f>
        <v>5.4855278738884941E-3</v>
      </c>
      <c r="O104" s="169">
        <f>SUM(O91:O102)</f>
        <v>7696496</v>
      </c>
      <c r="P104" s="133">
        <v>4.4200000000000003E-2</v>
      </c>
      <c r="Q104" s="169">
        <f>+Q91+Q92+Q93+Q94+Q95+Q96+Q97+Q98+Q99+Q100+Q101+Q102</f>
        <v>7814725.9100000001</v>
      </c>
      <c r="R104" s="144">
        <f>+Q104/O104-1</f>
        <v>1.5361524257272441E-2</v>
      </c>
      <c r="T104" s="169">
        <f>+T91+T92+T93+T94+T95+T96+T97+T98+T99+T100+T101+T102</f>
        <v>6812731.0700000003</v>
      </c>
      <c r="U104" s="133">
        <f>+V104/T104</f>
        <v>4.933918079933837E-2</v>
      </c>
      <c r="V104" s="169">
        <f>+SUM(V91:V102)</f>
        <v>336134.56999999995</v>
      </c>
      <c r="W104" s="169">
        <f>SUM(W91:W103)</f>
        <v>7871500.0000000019</v>
      </c>
      <c r="X104" s="133"/>
      <c r="Y104" s="169">
        <f>SUM(Y91:Y102)</f>
        <v>289082.00835939788</v>
      </c>
    </row>
    <row r="105" spans="1:25" ht="12" customHeight="1" x14ac:dyDescent="0.2">
      <c r="I105" s="152"/>
      <c r="M105" s="152"/>
      <c r="N105" s="53"/>
      <c r="O105" s="169"/>
      <c r="P105" s="133"/>
      <c r="R105" s="133"/>
      <c r="Y105" s="193"/>
    </row>
    <row r="106" spans="1:25" ht="16.5" customHeight="1" x14ac:dyDescent="0.2">
      <c r="A106" s="1" t="s">
        <v>18</v>
      </c>
      <c r="D106" s="152"/>
      <c r="F106" s="152"/>
      <c r="I106" s="152"/>
      <c r="M106" s="152"/>
      <c r="N106" s="53"/>
      <c r="O106" s="152"/>
      <c r="R106" s="133"/>
      <c r="W106" s="66"/>
      <c r="X106" s="215"/>
      <c r="Y106" s="193"/>
    </row>
    <row r="107" spans="1:25" hidden="1" x14ac:dyDescent="0.2">
      <c r="A107" s="2" t="s">
        <v>68</v>
      </c>
      <c r="B107" s="194">
        <f>+B91</f>
        <v>633957.11</v>
      </c>
      <c r="C107" s="172">
        <v>0.14349999999999999</v>
      </c>
      <c r="D107" s="194">
        <f>+D91</f>
        <v>654024.63</v>
      </c>
      <c r="E107" s="172">
        <f>+(D107-B107)/B107</f>
        <v>3.1654381161526871E-2</v>
      </c>
      <c r="F107" s="194">
        <f>+F91</f>
        <v>592722.75</v>
      </c>
      <c r="G107" s="172">
        <f>+(F107-D107)/D107</f>
        <v>-9.3730231535775657E-2</v>
      </c>
      <c r="H107" s="172"/>
      <c r="I107" s="194">
        <f>+I91</f>
        <v>545951</v>
      </c>
      <c r="J107" s="172">
        <f>+(I107-F107)/F107</f>
        <v>-7.8909996284097408E-2</v>
      </c>
      <c r="K107" s="194">
        <f>+K91</f>
        <v>598653.87</v>
      </c>
      <c r="L107" s="172">
        <f>+(K107-I107)/I107</f>
        <v>9.6534066244040206E-2</v>
      </c>
      <c r="M107" s="194">
        <f>+M91</f>
        <v>600324.32999999996</v>
      </c>
      <c r="N107" s="172">
        <f>+(M107-K107)/K107</f>
        <v>2.7903603128798995E-3</v>
      </c>
      <c r="O107" s="194">
        <f>+O91</f>
        <v>642087.22</v>
      </c>
      <c r="P107" s="172">
        <f>+(O107-M107)/M107</f>
        <v>6.9567212110160551E-2</v>
      </c>
      <c r="Q107" s="194">
        <f>+Q91</f>
        <v>592741.19999999995</v>
      </c>
      <c r="R107" s="144">
        <f>+Q107/O107-1</f>
        <v>-7.6852518572165351E-2</v>
      </c>
      <c r="T107" s="194">
        <f>+T91</f>
        <v>679847.91</v>
      </c>
      <c r="U107" s="144">
        <f>+T107/Q107-1</f>
        <v>0.14695572030424087</v>
      </c>
      <c r="V107" s="195">
        <f>+T107-Q107</f>
        <v>87106.710000000079</v>
      </c>
      <c r="W107" s="194">
        <f>+W91</f>
        <v>597047.47287803458</v>
      </c>
      <c r="X107" s="172">
        <f>+X91</f>
        <v>0.13868317157902116</v>
      </c>
      <c r="Y107" s="195">
        <f>+T107-W107</f>
        <v>82800.437121965457</v>
      </c>
    </row>
    <row r="108" spans="1:25" hidden="1" x14ac:dyDescent="0.2">
      <c r="A108" s="170"/>
      <c r="C108" s="172"/>
      <c r="D108" s="1"/>
      <c r="I108" s="152"/>
      <c r="J108" s="172"/>
      <c r="K108" s="172"/>
      <c r="L108" s="172"/>
      <c r="M108" s="175"/>
      <c r="N108" s="21"/>
      <c r="P108" s="21"/>
      <c r="Q108" s="175"/>
      <c r="R108" s="74"/>
      <c r="T108" s="177" t="s">
        <v>123</v>
      </c>
      <c r="U108" s="196"/>
      <c r="V108" s="196"/>
      <c r="W108" s="182"/>
      <c r="X108" s="197">
        <f>+Y107/W107</f>
        <v>0.13868317157902116</v>
      </c>
      <c r="Y108" s="198">
        <f>+Y107</f>
        <v>82800.437121965457</v>
      </c>
    </row>
    <row r="109" spans="1:25" hidden="1" x14ac:dyDescent="0.2">
      <c r="C109" s="172"/>
      <c r="D109" s="1"/>
      <c r="I109" s="152"/>
      <c r="J109" s="172"/>
      <c r="K109" s="172"/>
      <c r="L109" s="172"/>
      <c r="M109" s="20"/>
      <c r="N109" s="173"/>
      <c r="P109" s="173"/>
      <c r="Q109" s="20"/>
      <c r="R109" s="74"/>
      <c r="T109" s="181" t="s">
        <v>138</v>
      </c>
      <c r="U109" s="196"/>
      <c r="V109" s="196"/>
      <c r="W109" s="182"/>
      <c r="X109" s="179">
        <f>+U107</f>
        <v>0.14695572030424087</v>
      </c>
      <c r="Y109" s="198">
        <f>+V107</f>
        <v>87106.710000000079</v>
      </c>
    </row>
    <row r="110" spans="1:25" hidden="1" x14ac:dyDescent="0.2">
      <c r="C110" s="172"/>
      <c r="D110" s="60"/>
      <c r="G110" s="172"/>
      <c r="H110" s="172"/>
      <c r="I110" s="152"/>
      <c r="M110" s="20"/>
      <c r="N110" s="70"/>
      <c r="P110" s="70"/>
      <c r="Q110" s="20"/>
      <c r="R110" s="74"/>
      <c r="T110" s="181" t="s">
        <v>139</v>
      </c>
      <c r="U110" s="196"/>
      <c r="V110" s="196"/>
      <c r="W110" s="182"/>
      <c r="X110" s="179">
        <f>+(T107-B107)/B107</f>
        <v>7.2387862327153399E-2</v>
      </c>
      <c r="Y110" s="198">
        <f>+T107-B107</f>
        <v>45890.800000000047</v>
      </c>
    </row>
    <row r="111" spans="1:25" hidden="1" x14ac:dyDescent="0.2">
      <c r="A111" s="170"/>
      <c r="B111" s="1"/>
      <c r="C111" s="172"/>
      <c r="D111" s="60"/>
      <c r="G111" s="172"/>
      <c r="H111" s="172"/>
      <c r="I111" s="152"/>
      <c r="M111" s="152"/>
      <c r="N111" s="53"/>
      <c r="O111" s="152"/>
      <c r="Q111" s="74"/>
      <c r="R111" s="74"/>
      <c r="T111" s="74"/>
      <c r="U111" s="74"/>
      <c r="V111" s="74"/>
      <c r="Y111" s="193"/>
    </row>
    <row r="112" spans="1:25" hidden="1" x14ac:dyDescent="0.2">
      <c r="A112" s="2" t="s">
        <v>69</v>
      </c>
      <c r="B112" s="66">
        <f>+B91+B92</f>
        <v>1348556.1099999999</v>
      </c>
      <c r="C112" s="172">
        <v>5.7000000000000002E-2</v>
      </c>
      <c r="D112" s="66">
        <f>+D91+D92</f>
        <v>1364693.77</v>
      </c>
      <c r="E112" s="172">
        <f>+(D112-B112)/B112</f>
        <v>1.1966621099659064E-2</v>
      </c>
      <c r="F112" s="66">
        <f>+F91+F92</f>
        <v>1234697.3799999999</v>
      </c>
      <c r="G112" s="21">
        <f>+(F112-D112)/D112</f>
        <v>-9.5256820876378823E-2</v>
      </c>
      <c r="H112" s="21"/>
      <c r="I112" s="199">
        <f>+I91+I92</f>
        <v>1217772</v>
      </c>
      <c r="J112" s="21">
        <f>+(I112-F112)/F112</f>
        <v>-1.3708120122519325E-2</v>
      </c>
      <c r="K112" s="199">
        <f>+K91+K92</f>
        <v>1266282.78</v>
      </c>
      <c r="L112" s="172">
        <f>+(K112-I112)/I112</f>
        <v>3.9835683526965662E-2</v>
      </c>
      <c r="M112" s="199">
        <f>+M91+M92</f>
        <v>1259326.42</v>
      </c>
      <c r="N112" s="172">
        <f>+(M112-K112)/K112</f>
        <v>-5.4935280727738418E-3</v>
      </c>
      <c r="O112" s="199">
        <f>+O91+O92</f>
        <v>1311091.4099999999</v>
      </c>
      <c r="P112" s="172">
        <f>+(O112-M112)/M112</f>
        <v>4.1105299768109366E-2</v>
      </c>
      <c r="Q112" s="199">
        <f>+Q91+Q92</f>
        <v>1251303.98</v>
      </c>
      <c r="R112" s="172">
        <f>+(Q112-O112)/O112</f>
        <v>-4.5601267420400486E-2</v>
      </c>
      <c r="T112" s="199">
        <f>+T91+T92</f>
        <v>1418674.9500000002</v>
      </c>
      <c r="U112" s="144">
        <f>+T112/Q112-1</f>
        <v>0.13375724258465183</v>
      </c>
      <c r="V112" s="200">
        <f>SUM(V91:V102)</f>
        <v>336134.56999999995</v>
      </c>
      <c r="W112" s="199">
        <f>+W91+W92</f>
        <v>1260394.7204298046</v>
      </c>
      <c r="X112" s="21">
        <f>+(T112-W112)/W112</f>
        <v>0.12557988938276474</v>
      </c>
      <c r="Y112" s="199">
        <f>+Y91+Y92</f>
        <v>158280.22957019554</v>
      </c>
    </row>
    <row r="113" spans="1:25" hidden="1" x14ac:dyDescent="0.2">
      <c r="A113" s="170"/>
      <c r="C113" s="172"/>
      <c r="F113" s="20"/>
      <c r="G113" s="173"/>
      <c r="H113" s="173"/>
      <c r="I113" s="174"/>
      <c r="J113" s="21"/>
      <c r="K113" s="21"/>
      <c r="L113" s="21"/>
      <c r="M113" s="200"/>
      <c r="N113" s="21"/>
      <c r="O113" s="200"/>
      <c r="P113" s="21"/>
      <c r="Q113" s="74"/>
      <c r="R113" s="74"/>
      <c r="T113" s="74"/>
      <c r="U113" s="74"/>
      <c r="V113" s="74"/>
      <c r="W113" s="133"/>
    </row>
    <row r="114" spans="1:25" hidden="1" x14ac:dyDescent="0.2">
      <c r="A114" s="170"/>
      <c r="C114" s="172"/>
      <c r="F114" s="60"/>
      <c r="G114" s="21"/>
      <c r="H114" s="21"/>
      <c r="I114" s="174"/>
      <c r="J114" s="70"/>
      <c r="K114" s="70"/>
      <c r="L114" s="70"/>
      <c r="M114" s="175"/>
      <c r="N114" s="21"/>
      <c r="P114" s="21"/>
      <c r="Q114" s="175"/>
      <c r="R114" s="74"/>
      <c r="S114" s="60"/>
      <c r="T114" s="177" t="s">
        <v>160</v>
      </c>
      <c r="U114" s="196"/>
      <c r="V114" s="196"/>
      <c r="W114" s="182"/>
      <c r="X114" s="197">
        <f>+X112</f>
        <v>0.12557988938276474</v>
      </c>
      <c r="Y114" s="205">
        <f>+Y112</f>
        <v>158280.22957019554</v>
      </c>
    </row>
    <row r="115" spans="1:25" hidden="1" x14ac:dyDescent="0.2">
      <c r="A115" s="167" t="s">
        <v>194</v>
      </c>
      <c r="C115" s="172"/>
      <c r="F115" s="60"/>
      <c r="G115" s="172"/>
      <c r="H115" s="172"/>
      <c r="I115" s="152"/>
      <c r="M115" s="20"/>
      <c r="N115" s="173"/>
      <c r="P115" s="173"/>
      <c r="Q115" s="20"/>
      <c r="R115" s="74"/>
      <c r="S115" s="60"/>
      <c r="T115" s="181" t="s">
        <v>138</v>
      </c>
      <c r="U115" s="196"/>
      <c r="V115" s="196"/>
      <c r="W115" s="182"/>
      <c r="X115" s="179">
        <f>+U112</f>
        <v>0.13375724258465183</v>
      </c>
      <c r="Y115" s="205">
        <f>+V112</f>
        <v>336134.56999999995</v>
      </c>
    </row>
    <row r="116" spans="1:25" hidden="1" x14ac:dyDescent="0.2">
      <c r="A116" s="170"/>
      <c r="B116" s="1"/>
      <c r="C116" s="172"/>
      <c r="F116" s="60"/>
      <c r="G116" s="172"/>
      <c r="H116" s="172"/>
      <c r="I116" s="152"/>
      <c r="M116" s="20"/>
      <c r="N116" s="70"/>
      <c r="P116" s="70"/>
      <c r="Q116" s="20"/>
      <c r="R116" s="74"/>
      <c r="S116" s="60"/>
      <c r="T116" s="181" t="s">
        <v>139</v>
      </c>
      <c r="U116" s="196"/>
      <c r="V116" s="196"/>
      <c r="W116" s="182"/>
      <c r="X116" s="179">
        <f>+(T112-I112)/I112</f>
        <v>0.16497583291453588</v>
      </c>
      <c r="Y116" s="205">
        <f>+T112-I112</f>
        <v>200902.95000000019</v>
      </c>
    </row>
    <row r="117" spans="1:25" hidden="1" x14ac:dyDescent="0.2">
      <c r="A117" s="170"/>
      <c r="B117" s="1"/>
      <c r="C117" s="172"/>
      <c r="D117" s="60"/>
      <c r="G117" s="172"/>
      <c r="H117" s="172"/>
      <c r="I117" s="152"/>
      <c r="M117" s="152"/>
      <c r="N117" s="53"/>
      <c r="O117" s="152"/>
      <c r="Q117" s="74"/>
      <c r="R117" s="74"/>
      <c r="T117" s="74"/>
      <c r="U117" s="74"/>
      <c r="V117" s="74"/>
      <c r="Y117" s="66"/>
    </row>
    <row r="118" spans="1:25" ht="15" hidden="1" customHeight="1" x14ac:dyDescent="0.2">
      <c r="A118" s="170" t="s">
        <v>70</v>
      </c>
      <c r="B118" s="66">
        <f>+B91+B92+B93</f>
        <v>2001988.54</v>
      </c>
      <c r="C118" s="172">
        <v>6.7699999999999996E-2</v>
      </c>
      <c r="D118" s="66">
        <f>+D91+D92+D93</f>
        <v>2035011.46</v>
      </c>
      <c r="E118" s="172">
        <f>+(D118-B118)/B118</f>
        <v>1.6495059457233421E-2</v>
      </c>
      <c r="F118" s="66">
        <f>+F91+F92+F93</f>
        <v>1863856.8599999999</v>
      </c>
      <c r="G118" s="172">
        <f>+(F118-D118)/D118</f>
        <v>-8.4104980912490829E-2</v>
      </c>
      <c r="H118" s="172"/>
      <c r="I118" s="66">
        <f>+I91+I92+I93</f>
        <v>1815630</v>
      </c>
      <c r="J118" s="21">
        <f>+(I118-F118)/F118</f>
        <v>-2.5874765940985336E-2</v>
      </c>
      <c r="K118" s="66">
        <f>+K91+K92+K93</f>
        <v>1891288.85</v>
      </c>
      <c r="L118" s="21">
        <f>+(K118-I118)/I118</f>
        <v>4.1670852541542104E-2</v>
      </c>
      <c r="M118" s="195">
        <f>+M91+M92+M93</f>
        <v>1893457.96</v>
      </c>
      <c r="N118" s="92"/>
      <c r="O118" s="195">
        <f>+O91+O92+O93</f>
        <v>1985944.79</v>
      </c>
      <c r="P118" s="172">
        <f>+(O118-M118)/M118</f>
        <v>4.8845462615922076E-2</v>
      </c>
      <c r="Q118" s="195">
        <f>+Q91+Q92+Q93</f>
        <v>1991927.98</v>
      </c>
      <c r="R118" s="172">
        <f>+(Q118-O118)/O118</f>
        <v>3.0127675402295269E-3</v>
      </c>
      <c r="T118" s="195">
        <f>+T91+T92+T93</f>
        <v>2167113.5300000003</v>
      </c>
      <c r="U118" s="172">
        <f>+(T118-Q118)/Q118</f>
        <v>8.794773292958126E-2</v>
      </c>
      <c r="V118" s="195">
        <f>+V91+V92+V93</f>
        <v>175185.55000000005</v>
      </c>
      <c r="W118" s="199">
        <f>+W91+W92+W93</f>
        <v>2006399.3638607347</v>
      </c>
      <c r="X118" s="21">
        <f>+(T118-W118)/W118</f>
        <v>8.0100786031958082E-2</v>
      </c>
      <c r="Y118" s="199">
        <f>+Y91+Y92+Y93</f>
        <v>160714.16613926552</v>
      </c>
    </row>
    <row r="119" spans="1:25" s="60" customFormat="1" ht="14.25" hidden="1" customHeight="1" x14ac:dyDescent="0.2">
      <c r="F119" s="20"/>
      <c r="G119" s="173"/>
      <c r="H119" s="173"/>
      <c r="I119" s="174"/>
      <c r="J119" s="70"/>
      <c r="K119" s="70"/>
      <c r="L119" s="70"/>
      <c r="M119" s="200"/>
      <c r="N119" s="21"/>
      <c r="O119" s="200"/>
      <c r="P119" s="21"/>
      <c r="Q119" s="74"/>
      <c r="R119" s="74"/>
      <c r="T119" s="74"/>
      <c r="U119" s="74"/>
      <c r="V119" s="74"/>
      <c r="W119" s="173"/>
      <c r="Y119" s="62"/>
    </row>
    <row r="120" spans="1:25" s="60" customFormat="1" hidden="1" x14ac:dyDescent="0.2">
      <c r="B120" s="20"/>
      <c r="G120" s="173"/>
      <c r="H120" s="173"/>
      <c r="I120" s="174"/>
      <c r="J120" s="70"/>
      <c r="K120" s="70"/>
      <c r="L120" s="70"/>
      <c r="M120" s="175"/>
      <c r="N120" s="21"/>
      <c r="P120" s="21"/>
      <c r="Q120" s="175"/>
      <c r="R120" s="74"/>
      <c r="T120" s="177" t="s">
        <v>123</v>
      </c>
      <c r="U120" s="196"/>
      <c r="V120" s="196"/>
      <c r="W120" s="182"/>
      <c r="X120" s="197">
        <f>+X118</f>
        <v>8.0100786031958082E-2</v>
      </c>
      <c r="Y120" s="205">
        <f>+Y118</f>
        <v>160714.16613926552</v>
      </c>
    </row>
    <row r="121" spans="1:25" s="60" customFormat="1" hidden="1" x14ac:dyDescent="0.2">
      <c r="B121" s="20"/>
      <c r="G121" s="173"/>
      <c r="H121" s="173"/>
      <c r="I121" s="174"/>
      <c r="J121" s="70"/>
      <c r="K121" s="70"/>
      <c r="L121" s="70"/>
      <c r="M121" s="20"/>
      <c r="N121" s="173"/>
      <c r="P121" s="173"/>
      <c r="Q121" s="20"/>
      <c r="R121" s="74"/>
      <c r="T121" s="181" t="s">
        <v>138</v>
      </c>
      <c r="U121" s="196"/>
      <c r="V121" s="196"/>
      <c r="W121" s="182"/>
      <c r="X121" s="179">
        <f>+U118</f>
        <v>8.794773292958126E-2</v>
      </c>
      <c r="Y121" s="205">
        <f>+V118</f>
        <v>175185.55000000005</v>
      </c>
    </row>
    <row r="122" spans="1:25" s="60" customFormat="1" hidden="1" x14ac:dyDescent="0.2">
      <c r="B122" s="20"/>
      <c r="G122" s="173"/>
      <c r="H122" s="173"/>
      <c r="I122" s="174"/>
      <c r="J122" s="70"/>
      <c r="K122" s="70"/>
      <c r="L122" s="70"/>
      <c r="M122" s="20"/>
      <c r="N122" s="70"/>
      <c r="P122" s="70"/>
      <c r="Q122" s="20"/>
      <c r="R122" s="74"/>
      <c r="T122" s="181" t="s">
        <v>139</v>
      </c>
      <c r="U122" s="196"/>
      <c r="V122" s="196"/>
      <c r="W122" s="182"/>
      <c r="X122" s="179">
        <f>+(T118-B118)/B118</f>
        <v>8.2480487126065274E-2</v>
      </c>
      <c r="Y122" s="205">
        <f>+T118-B118</f>
        <v>165124.99000000022</v>
      </c>
    </row>
    <row r="123" spans="1:25" s="60" customFormat="1" hidden="1" x14ac:dyDescent="0.2">
      <c r="B123" s="20"/>
      <c r="G123" s="173"/>
      <c r="H123" s="173"/>
      <c r="I123" s="174"/>
      <c r="J123" s="70"/>
      <c r="K123" s="70"/>
      <c r="L123" s="70"/>
      <c r="M123" s="20"/>
      <c r="N123" s="173"/>
      <c r="O123" s="20"/>
      <c r="P123" s="173"/>
      <c r="Q123" s="74"/>
      <c r="R123" s="74"/>
      <c r="T123" s="74"/>
      <c r="U123" s="74"/>
      <c r="V123" s="74"/>
      <c r="Y123" s="202"/>
    </row>
    <row r="124" spans="1:25" hidden="1" x14ac:dyDescent="0.2">
      <c r="A124" s="170" t="s">
        <v>72</v>
      </c>
      <c r="B124" s="171">
        <f>+B91+B92+B93+B94</f>
        <v>2678518.6</v>
      </c>
      <c r="C124" s="172">
        <v>6.0199999999999997E-2</v>
      </c>
      <c r="D124" s="171">
        <f>+D91+D92+D93+D94</f>
        <v>2714685.1</v>
      </c>
      <c r="E124" s="172">
        <f>+(D124-B124)/B124</f>
        <v>1.3502426303853182E-2</v>
      </c>
      <c r="F124" s="171">
        <f>+F91+F92+F93+F94</f>
        <v>2486324.3499999996</v>
      </c>
      <c r="G124" s="172">
        <f>+(F124-D124)/D124</f>
        <v>-8.4120530222824175E-2</v>
      </c>
      <c r="H124" s="172"/>
      <c r="I124" s="171">
        <f>+I91+I92+I93+I94</f>
        <v>2452374</v>
      </c>
      <c r="J124" s="21">
        <f>+(I124-F124)/F124</f>
        <v>-1.3654835500444515E-2</v>
      </c>
      <c r="K124" s="171">
        <f>+K91+K92+K93+K94</f>
        <v>2539421.9700000002</v>
      </c>
      <c r="L124" s="21">
        <f>+(K124-I124)/I124</f>
        <v>3.5495389365569938E-2</v>
      </c>
      <c r="M124" s="194">
        <f>+M91+M92+M93+M94</f>
        <v>2553352.04</v>
      </c>
      <c r="N124" s="21">
        <f>+(M124-K124)/K124</f>
        <v>5.4855278738884941E-3</v>
      </c>
      <c r="O124" s="194">
        <f>+O91+O92+O93+O94</f>
        <v>2728301.76</v>
      </c>
      <c r="P124" s="172">
        <f>+(O124-M124)/M124</f>
        <v>6.8517665116009513E-2</v>
      </c>
      <c r="Q124" s="194">
        <f>+Q91+Q92+Q93+Q94</f>
        <v>2675687.98</v>
      </c>
      <c r="R124" s="172">
        <f>+(Q124-O124)/O124</f>
        <v>-1.9284443081545276E-2</v>
      </c>
      <c r="T124" s="194">
        <f>+T91+T92+T93+T94</f>
        <v>2866312.7600000002</v>
      </c>
      <c r="U124" s="172">
        <f>+(T124-Q124)/Q124</f>
        <v>7.1243277028138485E-2</v>
      </c>
      <c r="V124" s="285">
        <f>+V91+V92+V93+V94</f>
        <v>190624.78000000003</v>
      </c>
      <c r="W124" s="194">
        <f>+W91+W92+W93+W94</f>
        <v>2695126.889558434</v>
      </c>
      <c r="X124" s="21">
        <f>+(T124-W124)/W124</f>
        <v>6.3516812920675916E-2</v>
      </c>
      <c r="Y124" s="194">
        <f>+Y91+Y92+Y93+Y94</f>
        <v>171185.87044156634</v>
      </c>
    </row>
    <row r="125" spans="1:25" hidden="1" x14ac:dyDescent="0.2">
      <c r="B125" s="1"/>
      <c r="F125" s="1"/>
      <c r="I125" s="152"/>
      <c r="M125" s="175"/>
      <c r="N125" s="53"/>
      <c r="P125" s="21"/>
      <c r="Q125" s="175"/>
      <c r="R125" s="74"/>
      <c r="S125" s="60"/>
      <c r="T125" s="177" t="s">
        <v>123</v>
      </c>
      <c r="U125" s="196"/>
      <c r="V125" s="196"/>
      <c r="W125" s="182"/>
      <c r="X125" s="197">
        <f>+X124</f>
        <v>6.3516812920675916E-2</v>
      </c>
      <c r="Y125" s="205">
        <f>+Y124</f>
        <v>171185.87044156634</v>
      </c>
    </row>
    <row r="126" spans="1:25" hidden="1" x14ac:dyDescent="0.2">
      <c r="A126" s="170"/>
      <c r="E126" s="172"/>
      <c r="F126" s="60"/>
      <c r="G126" s="10"/>
      <c r="H126" s="10"/>
      <c r="I126" s="152"/>
      <c r="M126" s="20"/>
      <c r="N126" s="53"/>
      <c r="P126" s="173"/>
      <c r="Q126" s="20"/>
      <c r="R126" s="74"/>
      <c r="S126" s="60"/>
      <c r="T126" s="181" t="s">
        <v>138</v>
      </c>
      <c r="U126" s="196"/>
      <c r="V126" s="196"/>
      <c r="W126" s="182"/>
      <c r="X126" s="179">
        <f>+U124</f>
        <v>7.1243277028138485E-2</v>
      </c>
      <c r="Y126" s="205">
        <f>+V124</f>
        <v>190624.78000000003</v>
      </c>
    </row>
    <row r="127" spans="1:25" ht="15.75" hidden="1" customHeight="1" x14ac:dyDescent="0.2">
      <c r="A127" s="1"/>
      <c r="D127" s="152"/>
      <c r="F127" s="152"/>
      <c r="I127" s="152"/>
      <c r="M127" s="20"/>
      <c r="N127" s="53"/>
      <c r="P127" s="70"/>
      <c r="Q127" s="20"/>
      <c r="R127" s="74"/>
      <c r="S127" s="60"/>
      <c r="T127" s="181" t="s">
        <v>139</v>
      </c>
      <c r="U127" s="196"/>
      <c r="V127" s="196"/>
      <c r="W127" s="182"/>
      <c r="X127" s="179">
        <f>+(T124-B124)/B124</f>
        <v>7.0111202513210152E-2</v>
      </c>
      <c r="Y127" s="205">
        <f>+T124-B124</f>
        <v>187794.16000000015</v>
      </c>
    </row>
    <row r="128" spans="1:25" s="60" customFormat="1" ht="15.75" hidden="1" customHeight="1" x14ac:dyDescent="0.2">
      <c r="A128" s="20"/>
      <c r="D128" s="174"/>
      <c r="F128" s="174"/>
      <c r="G128" s="173"/>
      <c r="H128" s="173"/>
      <c r="I128" s="174"/>
      <c r="J128" s="70"/>
      <c r="K128" s="70"/>
      <c r="L128" s="70"/>
      <c r="M128" s="20"/>
      <c r="N128" s="70"/>
      <c r="O128" s="70"/>
      <c r="P128" s="70"/>
      <c r="Q128" s="20"/>
      <c r="R128" s="74"/>
      <c r="T128" s="20"/>
      <c r="U128" s="74"/>
      <c r="V128" s="74"/>
      <c r="X128" s="21"/>
      <c r="Y128" s="223"/>
    </row>
    <row r="129" spans="1:25" s="60" customFormat="1" hidden="1" x14ac:dyDescent="0.2">
      <c r="A129" s="203" t="s">
        <v>73</v>
      </c>
      <c r="B129" s="204">
        <f>+SUM(B91:B95)</f>
        <v>3357768.95</v>
      </c>
      <c r="C129" s="172">
        <v>5.7099999999999998E-2</v>
      </c>
      <c r="D129" s="204">
        <f>+SUM(D91:D95)</f>
        <v>3377451.3600000003</v>
      </c>
      <c r="E129" s="172">
        <f>+(D129-B129)/B129</f>
        <v>5.8617523400471463E-3</v>
      </c>
      <c r="F129" s="204">
        <f>+SUM(F91:F95)</f>
        <v>3082701.09</v>
      </c>
      <c r="G129" s="172">
        <f>+(F129-D129)/D129</f>
        <v>-8.727002659188568E-2</v>
      </c>
      <c r="H129" s="172"/>
      <c r="I129" s="204">
        <f>+SUM(I91:I95)</f>
        <v>3043279</v>
      </c>
      <c r="J129" s="172">
        <f>+(I129-F129)/F129</f>
        <v>-1.2788164940117452E-2</v>
      </c>
      <c r="K129" s="204">
        <f>+SUM(K91:K95)</f>
        <v>3164954.2</v>
      </c>
      <c r="L129" s="21">
        <f>+(K129-I129)/I129</f>
        <v>3.998161193896458E-2</v>
      </c>
      <c r="M129" s="204">
        <f>+SUM(M91:M95)</f>
        <v>3169539.38</v>
      </c>
      <c r="N129" s="21">
        <f>+(M129-K129)/K129</f>
        <v>1.4487350243487572E-3</v>
      </c>
      <c r="O129" s="204">
        <f>+SUM(O91:O95)</f>
        <v>3388205.76</v>
      </c>
      <c r="P129" s="172">
        <f>+(O129-M129)/M129</f>
        <v>6.8989955253371829E-2</v>
      </c>
      <c r="Q129" s="204">
        <f>+SUM(Q91:Q95)</f>
        <v>3363683.98</v>
      </c>
      <c r="R129" s="172">
        <f>+(Q129-O129)/O129</f>
        <v>-7.2373939887286527E-3</v>
      </c>
      <c r="T129" s="204">
        <f>+SUM(T91:T95)</f>
        <v>3572106.7600000002</v>
      </c>
      <c r="U129" s="172">
        <f>+(T129-Q129)/Q129</f>
        <v>6.1962652032489768E-2</v>
      </c>
      <c r="V129" s="222">
        <f>+SUM(V91:V95)</f>
        <v>208422.78000000003</v>
      </c>
      <c r="W129" s="204">
        <f>+SUM(W91:W95)</f>
        <v>3388121.1898537339</v>
      </c>
      <c r="X129" s="21">
        <f>+(T129-W129)/W129</f>
        <v>5.4303125489501475E-2</v>
      </c>
      <c r="Y129" s="204">
        <f>+SUM(Y91:Y95)</f>
        <v>183985.57014626649</v>
      </c>
    </row>
    <row r="130" spans="1:25" s="60" customFormat="1" hidden="1" x14ac:dyDescent="0.2">
      <c r="C130" s="172"/>
      <c r="F130" s="20"/>
      <c r="I130" s="174"/>
      <c r="M130" s="175"/>
      <c r="N130" s="21"/>
      <c r="P130" s="21"/>
      <c r="Q130" s="175"/>
      <c r="R130" s="74"/>
      <c r="T130" s="177" t="s">
        <v>123</v>
      </c>
      <c r="U130" s="196"/>
      <c r="V130" s="196"/>
      <c r="W130" s="182"/>
      <c r="X130" s="197">
        <f>+X129</f>
        <v>5.4303125489501475E-2</v>
      </c>
      <c r="Y130" s="205">
        <f>+Y129</f>
        <v>183985.57014626649</v>
      </c>
    </row>
    <row r="131" spans="1:25" s="60" customFormat="1" hidden="1" x14ac:dyDescent="0.2">
      <c r="A131" s="203"/>
      <c r="I131" s="174"/>
      <c r="J131" s="173"/>
      <c r="K131" s="173"/>
      <c r="L131" s="173"/>
      <c r="M131" s="20"/>
      <c r="N131" s="173"/>
      <c r="P131" s="173"/>
      <c r="Q131" s="20"/>
      <c r="R131" s="74"/>
      <c r="T131" s="181" t="s">
        <v>138</v>
      </c>
      <c r="U131" s="196"/>
      <c r="V131" s="196"/>
      <c r="W131" s="182"/>
      <c r="X131" s="179">
        <f>+U129</f>
        <v>6.1962652032489768E-2</v>
      </c>
      <c r="Y131" s="205">
        <f>+V129</f>
        <v>208422.78000000003</v>
      </c>
    </row>
    <row r="132" spans="1:25" hidden="1" x14ac:dyDescent="0.2">
      <c r="F132" s="173"/>
      <c r="G132" s="173"/>
      <c r="H132" s="173"/>
      <c r="I132" s="60"/>
      <c r="J132" s="70"/>
      <c r="K132" s="70"/>
      <c r="L132" s="70"/>
      <c r="M132" s="20"/>
      <c r="N132" s="70"/>
      <c r="P132" s="70"/>
      <c r="Q132" s="20"/>
      <c r="R132" s="74"/>
      <c r="S132" s="60"/>
      <c r="T132" s="181" t="s">
        <v>139</v>
      </c>
      <c r="U132" s="196"/>
      <c r="V132" s="196"/>
      <c r="W132" s="182"/>
      <c r="X132" s="179">
        <f>+(T129-B129)/B129</f>
        <v>6.3833400448830777E-2</v>
      </c>
      <c r="Y132" s="205">
        <f>+T129-B129</f>
        <v>214337.81000000006</v>
      </c>
    </row>
    <row r="133" spans="1:25" s="60" customFormat="1" hidden="1" x14ac:dyDescent="0.2">
      <c r="A133" s="203" t="s">
        <v>74</v>
      </c>
      <c r="B133" s="204">
        <f>+SUM(B91:B96)</f>
        <v>4005025.46</v>
      </c>
      <c r="C133" s="172">
        <v>5.1400000000000001E-2</v>
      </c>
      <c r="D133" s="204">
        <f>+SUM(D91:D96)</f>
        <v>4061338.8800000004</v>
      </c>
      <c r="E133" s="172">
        <f>+(D133-B133)/B133</f>
        <v>1.4060689641658455E-2</v>
      </c>
      <c r="F133" s="204">
        <f>+SUM(F91:F96)</f>
        <v>3663034.3499999996</v>
      </c>
      <c r="G133" s="172">
        <f>+(F133-D133)/D133</f>
        <v>-9.8072222429269607E-2</v>
      </c>
      <c r="H133" s="172"/>
      <c r="I133" s="204">
        <f>+SUM(I91:I96)</f>
        <v>3610210</v>
      </c>
      <c r="J133" s="21">
        <f>+(I133-F133)/F133</f>
        <v>-1.4420926737965106E-2</v>
      </c>
      <c r="K133" s="204">
        <f>+SUM(K91:K96)</f>
        <v>3738444.3600000003</v>
      </c>
      <c r="L133" s="21">
        <f>+(K133-I133)/I133</f>
        <v>3.5519917123934715E-2</v>
      </c>
      <c r="M133" s="204">
        <f>+SUM(M91:M96)</f>
        <v>3792103.31</v>
      </c>
      <c r="N133" s="21">
        <f>+(M133-K133)/K133</f>
        <v>1.4353283032410763E-2</v>
      </c>
      <c r="O133" s="204">
        <f>+SUM(O91:O96)</f>
        <v>4048796.6399999997</v>
      </c>
      <c r="P133" s="21">
        <f>+(O133-M133)/M133</f>
        <v>6.7691544511217339E-2</v>
      </c>
      <c r="Q133" s="204">
        <f>+SUM(Q91:Q96)</f>
        <v>4026384.7199999997</v>
      </c>
      <c r="R133" s="21">
        <f>+(Q133-O133)/O133</f>
        <v>-5.535452133748048E-3</v>
      </c>
      <c r="T133" s="204">
        <f>+SUM(T91:T96)</f>
        <v>4260920.9700000007</v>
      </c>
      <c r="U133" s="172">
        <f>+(T133-Q133)/Q133</f>
        <v>5.8249836096139603E-2</v>
      </c>
      <c r="V133" s="222">
        <f>+SUM(V91:V96)</f>
        <v>234536.25</v>
      </c>
      <c r="W133" s="66">
        <f>SUM(W91:W96)</f>
        <v>4055636.4597411714</v>
      </c>
      <c r="X133" s="213">
        <f>-(W133-T133)/T133</f>
        <v>4.8178436470467836E-2</v>
      </c>
      <c r="Y133" s="204">
        <f>+SUM(Y91:Y96)</f>
        <v>205284.51025882899</v>
      </c>
    </row>
    <row r="134" spans="1:25" s="60" customFormat="1" hidden="1" x14ac:dyDescent="0.2">
      <c r="A134" s="203"/>
      <c r="B134" s="204"/>
      <c r="C134" s="172"/>
      <c r="D134" s="204"/>
      <c r="E134" s="172"/>
      <c r="G134" s="175"/>
      <c r="H134" s="175"/>
      <c r="I134" s="175"/>
      <c r="J134" s="175"/>
      <c r="K134" s="175"/>
      <c r="L134" s="175"/>
      <c r="M134" s="175"/>
      <c r="Q134" s="175"/>
      <c r="T134" s="177" t="s">
        <v>123</v>
      </c>
      <c r="U134" s="182"/>
      <c r="V134" s="182"/>
      <c r="W134" s="182"/>
      <c r="X134" s="179">
        <f>-(W133-T133)/T133</f>
        <v>4.8178436470467836E-2</v>
      </c>
      <c r="Y134" s="205">
        <f>+Y133</f>
        <v>205284.51025882899</v>
      </c>
    </row>
    <row r="135" spans="1:25" s="60" customFormat="1" hidden="1" x14ac:dyDescent="0.2">
      <c r="C135" s="172"/>
      <c r="I135" s="173"/>
      <c r="M135" s="20"/>
      <c r="Q135" s="20"/>
      <c r="R135" s="74"/>
      <c r="T135" s="181" t="s">
        <v>138</v>
      </c>
      <c r="U135" s="196"/>
      <c r="V135" s="196"/>
      <c r="W135" s="181"/>
      <c r="X135" s="179">
        <f>+U133</f>
        <v>5.8249836096139603E-2</v>
      </c>
      <c r="Y135" s="205">
        <f>+V133</f>
        <v>234536.25</v>
      </c>
    </row>
    <row r="136" spans="1:25" s="60" customFormat="1" hidden="1" x14ac:dyDescent="0.2">
      <c r="A136" s="203"/>
      <c r="I136" s="173"/>
      <c r="M136" s="20"/>
      <c r="Q136" s="20"/>
      <c r="R136" s="74"/>
      <c r="T136" s="181" t="s">
        <v>139</v>
      </c>
      <c r="U136" s="196"/>
      <c r="V136" s="196"/>
      <c r="W136" s="182"/>
      <c r="X136" s="179">
        <f>+(T133-B133)/B133</f>
        <v>6.3893603812446353E-2</v>
      </c>
      <c r="Y136" s="205">
        <f>+T133-B133</f>
        <v>255895.51000000071</v>
      </c>
    </row>
    <row r="137" spans="1:25" s="60" customFormat="1" hidden="1" x14ac:dyDescent="0.2">
      <c r="A137" s="203"/>
      <c r="I137" s="173"/>
      <c r="M137" s="20"/>
      <c r="O137" s="20"/>
      <c r="Q137" s="74"/>
      <c r="R137" s="74"/>
      <c r="T137" s="74"/>
      <c r="U137" s="74"/>
      <c r="V137" s="74"/>
      <c r="X137" s="173"/>
      <c r="Y137" s="74"/>
    </row>
    <row r="138" spans="1:25" hidden="1" x14ac:dyDescent="0.2">
      <c r="A138" s="10" t="s">
        <v>75</v>
      </c>
      <c r="B138" s="204">
        <f>+SUM(B91:B97)</f>
        <v>4617328.82</v>
      </c>
      <c r="C138" s="172">
        <v>4.8000000000000001E-2</v>
      </c>
      <c r="D138" s="204">
        <f>+SUM(D91:D97)</f>
        <v>4631494.6000000006</v>
      </c>
      <c r="E138" s="172">
        <f>+(D138-B138)/B138</f>
        <v>3.0679599725800468E-3</v>
      </c>
      <c r="F138" s="204">
        <f>+SUM(F91:F97)</f>
        <v>4197923.01</v>
      </c>
      <c r="G138" s="172">
        <f>+(F138-D138)/D138</f>
        <v>-9.3613752675000578E-2</v>
      </c>
      <c r="H138" s="172"/>
      <c r="I138" s="204">
        <f>+SUM(I91:I97)</f>
        <v>4159314</v>
      </c>
      <c r="J138" s="172">
        <f>+(I138-F138)/F138</f>
        <v>-9.1971696260336553E-3</v>
      </c>
      <c r="K138" s="204">
        <f>+SUM(K91:K97)</f>
        <v>4319101.6000000006</v>
      </c>
      <c r="L138" s="172">
        <f>+(K138-I138)/I138</f>
        <v>3.8416815849921543E-2</v>
      </c>
      <c r="M138" s="204">
        <f>+SUM(M91:M97)</f>
        <v>4375753.17</v>
      </c>
      <c r="N138" s="172">
        <f>+(M138-K138)/K138</f>
        <v>1.3116517101611909E-2</v>
      </c>
      <c r="O138" s="204">
        <f>+SUM(O91:O97)</f>
        <v>4618772.5999999996</v>
      </c>
      <c r="P138" s="172">
        <f>+(O138-M138)/M138</f>
        <v>5.5537737289692621E-2</v>
      </c>
      <c r="Q138" s="204">
        <f>+SUM(Q91:Q97)</f>
        <v>4629411.29</v>
      </c>
      <c r="R138" s="172">
        <f>+(Q138-O138)/O138</f>
        <v>2.3033586888430947E-3</v>
      </c>
      <c r="S138" s="60"/>
      <c r="T138" s="204">
        <f>+SUM(T91:T97)</f>
        <v>4865786.1000000006</v>
      </c>
      <c r="U138" s="172">
        <f>+(T138-Q138)/Q138</f>
        <v>5.105936698918806E-2</v>
      </c>
      <c r="V138" s="152">
        <f>+SUM(V91:V97)</f>
        <v>236374.81000000006</v>
      </c>
      <c r="W138" s="204">
        <f>+SUM(W91:W97)</f>
        <v>4663044.0259721158</v>
      </c>
      <c r="X138" s="213">
        <f>-(W138-T138)/T138</f>
        <v>4.1666869414560728E-2</v>
      </c>
      <c r="Y138" s="204">
        <f>+SUM(Y91:Y97)</f>
        <v>202742.07402788498</v>
      </c>
    </row>
    <row r="139" spans="1:25" hidden="1" x14ac:dyDescent="0.2">
      <c r="B139" s="204"/>
      <c r="C139" s="133"/>
      <c r="D139" s="204"/>
      <c r="E139" s="133"/>
      <c r="F139" s="204"/>
      <c r="I139" s="204"/>
      <c r="M139" s="175"/>
      <c r="N139" s="70"/>
      <c r="P139" s="70"/>
      <c r="Q139" s="175"/>
      <c r="R139" s="74"/>
      <c r="S139" s="60"/>
      <c r="T139" s="177" t="s">
        <v>129</v>
      </c>
      <c r="U139" s="196"/>
      <c r="V139" s="196"/>
      <c r="W139" s="182"/>
      <c r="X139" s="179">
        <f>-(W138-T138)/T138</f>
        <v>4.1666869414560728E-2</v>
      </c>
      <c r="Y139" s="205">
        <f>+Y138</f>
        <v>202742.07402788498</v>
      </c>
    </row>
    <row r="140" spans="1:25" hidden="1" x14ac:dyDescent="0.2">
      <c r="C140" s="1"/>
      <c r="E140" s="60"/>
      <c r="F140" s="173"/>
      <c r="G140" s="60"/>
      <c r="H140" s="60"/>
      <c r="I140" s="174"/>
      <c r="K140" s="172"/>
      <c r="L140" s="172"/>
      <c r="M140" s="20"/>
      <c r="N140" s="21"/>
      <c r="P140" s="21"/>
      <c r="Q140" s="20"/>
      <c r="R140" s="74"/>
      <c r="S140" s="60"/>
      <c r="T140" s="181" t="s">
        <v>138</v>
      </c>
      <c r="U140" s="196"/>
      <c r="V140" s="196"/>
      <c r="W140" s="182"/>
      <c r="X140" s="179">
        <f>+U138</f>
        <v>5.105936698918806E-2</v>
      </c>
      <c r="Y140" s="205">
        <f>+V138</f>
        <v>236374.81000000006</v>
      </c>
    </row>
    <row r="141" spans="1:25" hidden="1" x14ac:dyDescent="0.2">
      <c r="E141" s="60"/>
      <c r="F141" s="173"/>
      <c r="G141" s="60"/>
      <c r="H141" s="60"/>
      <c r="I141" s="174"/>
      <c r="K141" s="173"/>
      <c r="L141" s="173"/>
      <c r="M141" s="20"/>
      <c r="N141" s="173"/>
      <c r="P141" s="173"/>
      <c r="Q141" s="20"/>
      <c r="R141" s="74"/>
      <c r="S141" s="60"/>
      <c r="T141" s="181" t="s">
        <v>139</v>
      </c>
      <c r="U141" s="196"/>
      <c r="V141" s="196"/>
      <c r="W141" s="182"/>
      <c r="X141" s="179">
        <f>+(T138-B138)/B138</f>
        <v>5.38097436170899E-2</v>
      </c>
      <c r="Y141" s="205">
        <f>+T138-B138</f>
        <v>248457.28000000026</v>
      </c>
    </row>
    <row r="142" spans="1:25" hidden="1" x14ac:dyDescent="0.2">
      <c r="M142" s="152"/>
      <c r="N142" s="53"/>
      <c r="O142" s="152"/>
      <c r="Q142" s="74"/>
      <c r="R142" s="74"/>
      <c r="S142" s="60"/>
    </row>
    <row r="143" spans="1:25" hidden="1" x14ac:dyDescent="0.2">
      <c r="A143" s="10" t="s">
        <v>76</v>
      </c>
      <c r="B143" s="66">
        <f>+SUM(B91:B98)</f>
        <v>5382697.1200000001</v>
      </c>
      <c r="C143" s="133">
        <v>5.3999999999999999E-2</v>
      </c>
      <c r="D143" s="66">
        <f>+SUM(D91:D98)</f>
        <v>5303907.78</v>
      </c>
      <c r="E143" s="133">
        <f>+(D143-B143)/B143</f>
        <v>-1.4637520604168761E-2</v>
      </c>
      <c r="F143" s="66">
        <f>+SUM(F91:F98)</f>
        <v>4859822.6499999994</v>
      </c>
      <c r="G143" s="133">
        <f>+(F143-D143)/D143</f>
        <v>-8.3727913157645592E-2</v>
      </c>
      <c r="I143" s="66">
        <f>+SUM(I91:I98)</f>
        <v>4839653</v>
      </c>
      <c r="J143" s="133">
        <f>+(I143-F143)/F143</f>
        <v>-4.1502851961067845E-3</v>
      </c>
      <c r="K143" s="66">
        <f>+SUM(K91:K98)</f>
        <v>5042085.4200000009</v>
      </c>
      <c r="L143" s="133">
        <f>+(K143-I143)/I143</f>
        <v>4.1827878982232995E-2</v>
      </c>
      <c r="M143" s="66">
        <f>+SUM(M91:M98)</f>
        <v>5052554.92</v>
      </c>
      <c r="N143" s="172">
        <f>+(M143-K143)/K143</f>
        <v>2.076422576751797E-3</v>
      </c>
      <c r="O143" s="66">
        <f>+SUM(O91:O98)</f>
        <v>5320566.5999999996</v>
      </c>
      <c r="P143" s="172">
        <f>+(O143-M143)/M143</f>
        <v>5.304478313320337E-2</v>
      </c>
      <c r="Q143" s="66">
        <f>+SUM(Q91:Q98)</f>
        <v>5390828.9400000004</v>
      </c>
      <c r="R143" s="172">
        <f>+(Q143-O143)/O143</f>
        <v>1.3205800299539674E-2</v>
      </c>
      <c r="S143" s="60"/>
      <c r="T143" s="204">
        <f>+SUM(T91:T98)</f>
        <v>5597175.0700000003</v>
      </c>
      <c r="U143" s="144">
        <f>+T143/Q143-1</f>
        <v>3.8277254258414661E-2</v>
      </c>
      <c r="V143" s="152">
        <f>+SUM(V91:V98)</f>
        <v>206346.13</v>
      </c>
      <c r="W143" s="66">
        <f>+SUM(W91:W98)</f>
        <v>5429993.3855530461</v>
      </c>
      <c r="X143" s="173">
        <f>+Y143/W143</f>
        <v>3.0788561343694433E-2</v>
      </c>
      <c r="Y143" s="66">
        <f>+SUM(Y91:Y98)</f>
        <v>167181.68444695498</v>
      </c>
    </row>
    <row r="144" spans="1:25" hidden="1" x14ac:dyDescent="0.2">
      <c r="D144" s="20"/>
      <c r="E144" s="60"/>
      <c r="F144" s="173"/>
      <c r="G144" s="60"/>
      <c r="H144" s="60"/>
      <c r="I144" s="174"/>
      <c r="J144" s="172"/>
      <c r="K144" s="172"/>
      <c r="L144" s="172"/>
      <c r="M144" s="175"/>
      <c r="N144" s="70"/>
      <c r="O144" s="175"/>
      <c r="P144" s="70"/>
      <c r="Q144" s="175"/>
      <c r="R144" s="74"/>
      <c r="S144" s="60"/>
      <c r="T144" s="177" t="s">
        <v>129</v>
      </c>
      <c r="U144" s="196"/>
      <c r="V144" s="196"/>
      <c r="W144" s="182"/>
      <c r="X144" s="179">
        <f>+X143</f>
        <v>3.0788561343694433E-2</v>
      </c>
      <c r="Y144" s="312">
        <f>+Y143</f>
        <v>167181.68444695498</v>
      </c>
    </row>
    <row r="145" spans="1:25" hidden="1" x14ac:dyDescent="0.2">
      <c r="D145" s="60"/>
      <c r="E145" s="60"/>
      <c r="F145" s="173"/>
      <c r="G145" s="60"/>
      <c r="H145" s="60"/>
      <c r="I145" s="174"/>
      <c r="J145" s="173"/>
      <c r="K145" s="173"/>
      <c r="L145" s="173"/>
      <c r="M145" s="20"/>
      <c r="N145" s="21"/>
      <c r="O145" s="20"/>
      <c r="P145" s="21"/>
      <c r="Q145" s="20"/>
      <c r="R145" s="74"/>
      <c r="S145" s="60"/>
      <c r="T145" s="181" t="s">
        <v>138</v>
      </c>
      <c r="U145" s="196"/>
      <c r="V145" s="196"/>
      <c r="W145" s="182"/>
      <c r="X145" s="179">
        <f>+U143</f>
        <v>3.8277254258414661E-2</v>
      </c>
      <c r="Y145" s="206">
        <f>+V143</f>
        <v>206346.13</v>
      </c>
    </row>
    <row r="146" spans="1:25" hidden="1" x14ac:dyDescent="0.2">
      <c r="M146" s="60"/>
      <c r="N146" s="173"/>
      <c r="O146" s="60"/>
      <c r="P146" s="173"/>
      <c r="Q146" s="20"/>
      <c r="R146" s="74"/>
      <c r="S146" s="60"/>
      <c r="T146" s="181" t="s">
        <v>139</v>
      </c>
      <c r="U146" s="196"/>
      <c r="V146" s="196"/>
      <c r="W146" s="182"/>
      <c r="X146" s="179">
        <f>(T143-B143)/B143</f>
        <v>3.98458143229133E-2</v>
      </c>
      <c r="Y146" s="206">
        <f>+T143-B143</f>
        <v>214477.95000000019</v>
      </c>
    </row>
    <row r="147" spans="1:25" s="60" customFormat="1" hidden="1" x14ac:dyDescent="0.2">
      <c r="F147" s="173"/>
      <c r="G147" s="173"/>
      <c r="H147" s="173"/>
      <c r="J147" s="70"/>
      <c r="K147" s="70"/>
      <c r="L147" s="70"/>
      <c r="N147" s="173"/>
      <c r="P147" s="173"/>
      <c r="Q147" s="74"/>
      <c r="R147" s="74"/>
      <c r="T147" s="74"/>
      <c r="U147" s="74"/>
      <c r="V147" s="74"/>
      <c r="X147" s="173"/>
      <c r="Y147" s="74"/>
    </row>
    <row r="148" spans="1:25" hidden="1" x14ac:dyDescent="0.2">
      <c r="A148" s="10" t="s">
        <v>113</v>
      </c>
      <c r="B148" s="169">
        <f>+SUM(B91:B99)</f>
        <v>5968164.6900000004</v>
      </c>
      <c r="C148" s="133">
        <v>4.8099999999999997E-2</v>
      </c>
      <c r="D148" s="169">
        <f>+SUM(D91:D99)</f>
        <v>5854052.6000000006</v>
      </c>
      <c r="E148" s="133">
        <f>+(D148-B148)/B148</f>
        <v>-1.9120130882313142E-2</v>
      </c>
      <c r="F148" s="169">
        <f>+SUM(F91:F99)</f>
        <v>5363418.0199999996</v>
      </c>
      <c r="G148" s="133">
        <f>+(F148-D148)/D148</f>
        <v>-8.3811098656681182E-2</v>
      </c>
      <c r="I148" s="169">
        <f>+SUM(I91:I99)</f>
        <v>5339447</v>
      </c>
      <c r="J148" s="133">
        <f>+(I148-F148)/F148</f>
        <v>-4.4693551594547458E-3</v>
      </c>
      <c r="K148" s="169">
        <f>+SUM(K91:K99)</f>
        <v>5585987.2200000007</v>
      </c>
      <c r="L148" s="133">
        <f>+(K148-I148)/I148</f>
        <v>4.6173362147803071E-2</v>
      </c>
      <c r="M148" s="169">
        <f>+SUM(M91:M99)</f>
        <v>5642256.3499999996</v>
      </c>
      <c r="N148" s="133">
        <f>+(M148-K148)/K148</f>
        <v>1.0073265079900943E-2</v>
      </c>
      <c r="O148" s="169">
        <f>+SUM(O91:O99)</f>
        <v>5858923.5</v>
      </c>
      <c r="P148" s="172">
        <f>+(O148-M148)/M148</f>
        <v>3.84007986450315E-2</v>
      </c>
      <c r="Q148" s="169">
        <f>+SUM(Q91:Q99)</f>
        <v>5939012.9800000004</v>
      </c>
      <c r="R148" s="172">
        <f>+(Q148-O148)/O148</f>
        <v>1.3669657915827105E-2</v>
      </c>
      <c r="S148" s="60"/>
      <c r="T148" s="222">
        <f>+SUM(T91:T99)</f>
        <v>6202149.0700000003</v>
      </c>
      <c r="U148" s="144">
        <f>+T148/Q148-1</f>
        <v>4.4306367217267884E-2</v>
      </c>
      <c r="V148" s="169">
        <f>+SUM(V91:V99)</f>
        <v>263136.08999999997</v>
      </c>
      <c r="W148" s="169">
        <f>+SUM(W91:W99)</f>
        <v>5982159.9900577972</v>
      </c>
      <c r="X148" s="173">
        <f>+Y148/W148</f>
        <v>3.677418863885628E-2</v>
      </c>
      <c r="Y148" s="169">
        <f>+SUM(Y91:Y99)</f>
        <v>219989.07994220406</v>
      </c>
    </row>
    <row r="149" spans="1:25" s="60" customFormat="1" hidden="1" x14ac:dyDescent="0.2">
      <c r="D149" s="20"/>
      <c r="F149" s="173"/>
      <c r="I149" s="174"/>
      <c r="J149" s="21"/>
      <c r="K149" s="21"/>
      <c r="L149" s="21"/>
      <c r="M149" s="175"/>
      <c r="N149" s="70"/>
      <c r="O149" s="175"/>
      <c r="P149" s="70"/>
      <c r="Q149" s="175"/>
      <c r="R149" s="74"/>
      <c r="T149" s="177" t="s">
        <v>185</v>
      </c>
      <c r="U149" s="196"/>
      <c r="V149" s="196"/>
      <c r="W149" s="182"/>
      <c r="X149" s="179">
        <f>+X148</f>
        <v>3.677418863885628E-2</v>
      </c>
      <c r="Y149" s="312">
        <f>+Y148</f>
        <v>219989.07994220406</v>
      </c>
    </row>
    <row r="150" spans="1:25" s="60" customFormat="1" hidden="1" x14ac:dyDescent="0.2">
      <c r="F150" s="173"/>
      <c r="I150" s="174"/>
      <c r="J150" s="173"/>
      <c r="K150" s="173"/>
      <c r="L150" s="173"/>
      <c r="M150" s="20"/>
      <c r="N150" s="21"/>
      <c r="O150" s="20"/>
      <c r="P150" s="21"/>
      <c r="Q150" s="20"/>
      <c r="R150" s="74"/>
      <c r="T150" s="181" t="s">
        <v>138</v>
      </c>
      <c r="U150" s="196"/>
      <c r="V150" s="196"/>
      <c r="W150" s="182"/>
      <c r="X150" s="179">
        <f>+U148</f>
        <v>4.4306367217267884E-2</v>
      </c>
      <c r="Y150" s="206">
        <f>+V148</f>
        <v>263136.08999999997</v>
      </c>
    </row>
    <row r="151" spans="1:25" hidden="1" x14ac:dyDescent="0.2">
      <c r="M151" s="60"/>
      <c r="N151" s="173"/>
      <c r="O151" s="20"/>
      <c r="P151" s="173"/>
      <c r="Q151" s="20"/>
      <c r="R151" s="74"/>
      <c r="S151" s="60"/>
      <c r="T151" s="181" t="s">
        <v>139</v>
      </c>
      <c r="U151" s="196"/>
      <c r="V151" s="196"/>
      <c r="W151" s="182"/>
      <c r="X151" s="179">
        <f>(T148-$B$148)/$B$148</f>
        <v>3.9205416095848364E-2</v>
      </c>
      <c r="Y151" s="206">
        <f>+T148-$B$148</f>
        <v>233984.37999999989</v>
      </c>
    </row>
    <row r="152" spans="1:25" s="60" customFormat="1" hidden="1" x14ac:dyDescent="0.2">
      <c r="F152" s="173"/>
      <c r="G152" s="173"/>
      <c r="H152" s="173"/>
      <c r="J152" s="70"/>
      <c r="K152" s="70"/>
      <c r="L152" s="70"/>
      <c r="N152" s="173"/>
      <c r="P152" s="173"/>
      <c r="Q152" s="74"/>
      <c r="R152" s="74"/>
      <c r="T152" s="74"/>
      <c r="U152" s="74"/>
      <c r="V152" s="74"/>
      <c r="X152" s="21"/>
      <c r="Y152" s="74"/>
    </row>
    <row r="153" spans="1:25" s="60" customFormat="1" ht="14.25" customHeight="1" x14ac:dyDescent="0.2">
      <c r="A153" s="44" t="s">
        <v>78</v>
      </c>
      <c r="B153" s="204">
        <f>+SUM(B91:B100)</f>
        <v>6514221.3400000008</v>
      </c>
      <c r="C153" s="21">
        <v>4.4299999999999999E-2</v>
      </c>
      <c r="D153" s="204">
        <f>+SUM(D91:D100)</f>
        <v>6381915.040000001</v>
      </c>
      <c r="E153" s="133">
        <f>+D153/B153-1</f>
        <v>-2.0310378339093993E-2</v>
      </c>
      <c r="F153" s="204">
        <f>+SUM(F91:F100)</f>
        <v>5859646.0199999996</v>
      </c>
      <c r="G153" s="133">
        <f>+F153/D153-1</f>
        <v>-8.1835783887214131E-2</v>
      </c>
      <c r="H153" s="133"/>
      <c r="I153" s="204">
        <f>+SUM(I91:I100)</f>
        <v>5839223</v>
      </c>
      <c r="J153" s="133">
        <f>+I153/F153-1</f>
        <v>-3.4853675341978141E-3</v>
      </c>
      <c r="K153" s="204">
        <f>+SUM(K91:K100)</f>
        <v>6137030.5200000005</v>
      </c>
      <c r="L153" s="133">
        <f>+K153/I153-1</f>
        <v>5.1001223964215914E-2</v>
      </c>
      <c r="M153" s="204">
        <f>+SUM(M91:M100)</f>
        <v>6151908.7999999998</v>
      </c>
      <c r="N153" s="133">
        <f>+(M153-K153)/K153</f>
        <v>2.4243451212296284E-3</v>
      </c>
      <c r="O153" s="204">
        <f>+SUM(O91:O100)</f>
        <v>6452223.4100000001</v>
      </c>
      <c r="P153" s="207">
        <f>+O153/M153-1</f>
        <v>4.8816492533179323E-2</v>
      </c>
      <c r="Q153" s="204">
        <f>+SUM(Q91:Q100)</f>
        <v>6476596.5</v>
      </c>
      <c r="R153" s="207">
        <f>+Q153/O153-1</f>
        <v>3.7774714933498377E-3</v>
      </c>
      <c r="T153" s="222">
        <f>+SUM(T91:T100)</f>
        <v>6812731.0700000003</v>
      </c>
      <c r="U153" s="144">
        <f>+T153/Q153-1</f>
        <v>5.1899878277116729E-2</v>
      </c>
      <c r="V153" s="169">
        <f>+SUM(V91:V100)</f>
        <v>336134.56999999995</v>
      </c>
      <c r="W153" s="204">
        <f>+SUM(W91:W100)</f>
        <v>6523649.0616406035</v>
      </c>
      <c r="X153" s="207">
        <f>+(T153-W153)/W153</f>
        <v>4.4312930635587694E-2</v>
      </c>
      <c r="Y153" s="204">
        <f>+SUM(Y91:Y100)</f>
        <v>289082.00835939788</v>
      </c>
    </row>
    <row r="154" spans="1:25" s="60" customFormat="1" ht="14.25" customHeight="1" x14ac:dyDescent="0.2">
      <c r="A154" s="203"/>
      <c r="D154" s="20"/>
      <c r="F154" s="208"/>
      <c r="I154" s="174"/>
      <c r="J154" s="21"/>
      <c r="K154" s="21"/>
      <c r="L154" s="21"/>
      <c r="M154" s="175"/>
      <c r="N154" s="70"/>
      <c r="O154" s="175"/>
      <c r="P154" s="70"/>
      <c r="Q154" s="175"/>
      <c r="R154" s="74"/>
      <c r="T154" s="177" t="s">
        <v>186</v>
      </c>
      <c r="U154" s="196"/>
      <c r="V154" s="196"/>
      <c r="W154" s="182"/>
      <c r="X154" s="179">
        <f>+X153</f>
        <v>4.4312930635587694E-2</v>
      </c>
      <c r="Y154" s="312">
        <f>+Y153</f>
        <v>289082.00835939788</v>
      </c>
    </row>
    <row r="155" spans="1:25" s="60" customFormat="1" x14ac:dyDescent="0.2">
      <c r="A155" s="203"/>
      <c r="B155" s="208"/>
      <c r="F155" s="208"/>
      <c r="I155" s="174"/>
      <c r="J155" s="173"/>
      <c r="K155" s="173"/>
      <c r="L155" s="173"/>
      <c r="M155" s="20"/>
      <c r="N155" s="21"/>
      <c r="O155" s="20"/>
      <c r="P155" s="21"/>
      <c r="Q155" s="20"/>
      <c r="R155" s="74"/>
      <c r="T155" s="181" t="s">
        <v>138</v>
      </c>
      <c r="U155" s="196"/>
      <c r="V155" s="196"/>
      <c r="W155" s="182"/>
      <c r="X155" s="179">
        <f>+U153</f>
        <v>5.1899878277116729E-2</v>
      </c>
      <c r="Y155" s="206">
        <f>+V153</f>
        <v>336134.56999999995</v>
      </c>
    </row>
    <row r="156" spans="1:25" x14ac:dyDescent="0.2">
      <c r="M156" s="60"/>
      <c r="N156" s="173"/>
      <c r="O156" s="60"/>
      <c r="P156" s="173"/>
      <c r="Q156" s="20"/>
      <c r="R156" s="74"/>
      <c r="S156" s="60"/>
      <c r="T156" s="181" t="s">
        <v>139</v>
      </c>
      <c r="U156" s="196"/>
      <c r="V156" s="196"/>
      <c r="W156" s="182"/>
      <c r="X156" s="179">
        <f>(T153-B153)/B153</f>
        <v>4.5824314898087186E-2</v>
      </c>
      <c r="Y156" s="206">
        <f>+T153-B153</f>
        <v>298509.72999999952</v>
      </c>
    </row>
    <row r="157" spans="1:25" s="60" customFormat="1" hidden="1" x14ac:dyDescent="0.2">
      <c r="F157" s="173"/>
      <c r="G157" s="173"/>
      <c r="H157" s="173"/>
      <c r="J157" s="70"/>
      <c r="K157" s="70"/>
      <c r="L157" s="70"/>
      <c r="N157" s="173"/>
      <c r="P157" s="173"/>
      <c r="Q157" s="74"/>
      <c r="R157" s="74"/>
      <c r="T157" s="74"/>
      <c r="U157" s="74"/>
      <c r="V157" s="74"/>
      <c r="X157" s="21"/>
      <c r="Y157" s="62"/>
    </row>
    <row r="158" spans="1:25" s="60" customFormat="1" hidden="1" x14ac:dyDescent="0.2">
      <c r="A158" s="203" t="s">
        <v>79</v>
      </c>
      <c r="B158" s="209">
        <f>+SUM(B91:B101)</f>
        <v>7466011.4000000004</v>
      </c>
      <c r="C158" s="21">
        <v>9.0999999999999998E-2</v>
      </c>
      <c r="D158" s="209">
        <f>+SUM(D91:D101)</f>
        <v>6952598.2600000007</v>
      </c>
      <c r="E158" s="21">
        <f>+(D158-B158)/B158</f>
        <v>-6.8766723286814116E-2</v>
      </c>
      <c r="F158" s="209">
        <f>+SUM(F91:F101)</f>
        <v>6432317.8699999992</v>
      </c>
      <c r="G158" s="21">
        <f>+(F158-D158)/D158</f>
        <v>-7.4832511608401417E-2</v>
      </c>
      <c r="H158" s="21"/>
      <c r="I158" s="209">
        <f>+SUM(I91:I101)</f>
        <v>6433826</v>
      </c>
      <c r="J158" s="21">
        <f>+(I158-F158)/F158</f>
        <v>2.3446136066046435E-4</v>
      </c>
      <c r="K158" s="209">
        <f>+SUM(K91:K101)</f>
        <v>6759498.6200000001</v>
      </c>
      <c r="L158" s="21">
        <f>+(K158-I158)/I158</f>
        <v>5.0618810642376728E-2</v>
      </c>
      <c r="M158" s="209">
        <f>+SUM(M91:M101)</f>
        <v>6795787.04</v>
      </c>
      <c r="N158" s="133">
        <f>+(M158-K158)/K158</f>
        <v>5.3685076423611909E-3</v>
      </c>
      <c r="O158" s="209">
        <f>+SUM(O91:O101)</f>
        <v>7087221.9500000002</v>
      </c>
      <c r="P158" s="207">
        <f>+O158/M158-1</f>
        <v>4.2884644307512154E-2</v>
      </c>
      <c r="Q158" s="222"/>
      <c r="R158" s="21"/>
      <c r="T158" s="222">
        <f>+SUM(T91:T101)</f>
        <v>6812731.0700000003</v>
      </c>
      <c r="U158" s="172" t="e">
        <f>+(T158-#REF!)/#REF!</f>
        <v>#REF!</v>
      </c>
      <c r="V158" s="169">
        <f>+SUM(V91:V101)</f>
        <v>336134.56999999995</v>
      </c>
      <c r="W158" s="204">
        <f>+SUM(W91:W101)</f>
        <v>7181170.9229306821</v>
      </c>
      <c r="X158" s="207">
        <f>+(T158-W158)/W158</f>
        <v>-5.1306375643307915E-2</v>
      </c>
      <c r="Y158" s="204">
        <f>+SUM(Y91:Y101)</f>
        <v>289082.00835939788</v>
      </c>
    </row>
    <row r="159" spans="1:25" s="60" customFormat="1" hidden="1" x14ac:dyDescent="0.2">
      <c r="A159" s="203"/>
      <c r="D159" s="20"/>
      <c r="F159" s="208"/>
      <c r="I159" s="208"/>
      <c r="J159" s="21"/>
      <c r="K159" s="21"/>
      <c r="L159" s="21"/>
      <c r="M159" s="175"/>
      <c r="N159" s="21"/>
      <c r="O159" s="175"/>
      <c r="P159" s="21"/>
      <c r="Q159" s="175"/>
      <c r="R159" s="74"/>
      <c r="T159" s="177" t="s">
        <v>186</v>
      </c>
      <c r="U159" s="196"/>
      <c r="V159" s="196"/>
      <c r="W159" s="182"/>
      <c r="X159" s="179">
        <f>+X158</f>
        <v>-5.1306375643307915E-2</v>
      </c>
      <c r="Y159" s="312">
        <f>+Y158</f>
        <v>289082.00835939788</v>
      </c>
    </row>
    <row r="160" spans="1:25" s="60" customFormat="1" hidden="1" x14ac:dyDescent="0.2">
      <c r="A160" s="203"/>
      <c r="B160" s="208"/>
      <c r="F160" s="208"/>
      <c r="I160" s="174"/>
      <c r="J160" s="173"/>
      <c r="K160" s="173"/>
      <c r="L160" s="173"/>
      <c r="M160" s="20"/>
      <c r="N160" s="173"/>
      <c r="O160" s="20"/>
      <c r="P160" s="173"/>
      <c r="Q160" s="20"/>
      <c r="R160" s="74"/>
      <c r="T160" s="181" t="s">
        <v>138</v>
      </c>
      <c r="U160" s="196"/>
      <c r="V160" s="196"/>
      <c r="W160" s="182"/>
      <c r="X160" s="179" t="e">
        <f>+U158</f>
        <v>#REF!</v>
      </c>
      <c r="Y160" s="206">
        <f>+V158</f>
        <v>336134.56999999995</v>
      </c>
    </row>
    <row r="161" spans="1:25" hidden="1" x14ac:dyDescent="0.2">
      <c r="B161" s="191"/>
      <c r="M161" s="60"/>
      <c r="N161" s="70"/>
      <c r="O161" s="20"/>
      <c r="P161" s="70"/>
      <c r="Q161" s="20"/>
      <c r="R161" s="74"/>
      <c r="S161" s="60"/>
      <c r="T161" s="181" t="s">
        <v>139</v>
      </c>
      <c r="U161" s="196"/>
      <c r="V161" s="196"/>
      <c r="W161" s="182"/>
      <c r="X161" s="179">
        <f>(T158-I158)/I158</f>
        <v>5.8892651122364872E-2</v>
      </c>
      <c r="Y161" s="206">
        <f>+T158-I158</f>
        <v>378905.0700000003</v>
      </c>
    </row>
    <row r="162" spans="1:25" s="60" customFormat="1" hidden="1" x14ac:dyDescent="0.2">
      <c r="B162" s="209"/>
      <c r="F162" s="173"/>
      <c r="G162" s="173"/>
      <c r="H162" s="173"/>
      <c r="J162" s="70"/>
      <c r="K162" s="70"/>
      <c r="L162" s="70"/>
      <c r="N162" s="70"/>
      <c r="P162" s="70"/>
      <c r="Q162" s="74"/>
      <c r="R162" s="74"/>
      <c r="T162" s="74"/>
      <c r="U162" s="74"/>
      <c r="V162" s="74"/>
      <c r="X162" s="21"/>
      <c r="Y162" s="209"/>
    </row>
    <row r="163" spans="1:25" s="60" customFormat="1" hidden="1" x14ac:dyDescent="0.2">
      <c r="A163" s="203" t="s">
        <v>80</v>
      </c>
      <c r="B163" s="209">
        <f>+SUM(B91:B102)</f>
        <v>8097459.4400000004</v>
      </c>
      <c r="C163" s="21">
        <v>8.7400000000000005E-2</v>
      </c>
      <c r="D163" s="209">
        <f>+SUM(D91:D102)</f>
        <v>7486849.5600000005</v>
      </c>
      <c r="E163" s="21">
        <f>+(D163-B163)/B163</f>
        <v>-7.5407587345692195E-2</v>
      </c>
      <c r="F163" s="209">
        <f>+SUM(F91:F102)</f>
        <v>6974145.9799999995</v>
      </c>
      <c r="G163" s="21">
        <f>+(F163-D163)/D163</f>
        <v>-6.8480550582881078E-2</v>
      </c>
      <c r="H163" s="21"/>
      <c r="I163" s="209">
        <f>+SUM(I91:I102)</f>
        <v>7014517.0199999996</v>
      </c>
      <c r="J163" s="21">
        <f>+(I163-F163)/F163</f>
        <v>5.7886714897814684E-3</v>
      </c>
      <c r="K163" s="209">
        <f>+SUM(K91:K102)</f>
        <v>7302510.1600000001</v>
      </c>
      <c r="L163" s="21">
        <f>+(K163-I163)/I163</f>
        <v>4.1056731230228106E-2</v>
      </c>
      <c r="M163" s="209">
        <f>+SUM(M91:M102)</f>
        <v>7370418.5099999998</v>
      </c>
      <c r="N163" s="207">
        <f>+M163/K163-1</f>
        <v>9.2993160587400148E-3</v>
      </c>
      <c r="O163" s="209">
        <f>+SUM(O91:O102)</f>
        <v>7696496</v>
      </c>
      <c r="P163" s="207">
        <f>+O163/K163-1</f>
        <v>5.3952111173783068E-2</v>
      </c>
      <c r="Q163" s="209"/>
      <c r="R163" s="21"/>
      <c r="T163" s="209">
        <f>+SUM(T91:T102)</f>
        <v>6812731.0700000003</v>
      </c>
      <c r="U163" s="21">
        <f>+V163/T163</f>
        <v>4.933918079933837E-2</v>
      </c>
      <c r="V163" s="209">
        <f>+SUM(V91:V102)</f>
        <v>336134.56999999995</v>
      </c>
      <c r="W163" s="209">
        <f>+SUM(W91:W102)</f>
        <v>7871500.0000000019</v>
      </c>
      <c r="X163" s="207">
        <f>+(T163-W163)/W163</f>
        <v>-0.13450662897795862</v>
      </c>
      <c r="Y163" s="209">
        <f>+SUM(Y91:Y102)</f>
        <v>289082.00835939788</v>
      </c>
    </row>
    <row r="164" spans="1:25" s="60" customFormat="1" hidden="1" x14ac:dyDescent="0.2">
      <c r="A164" s="203"/>
      <c r="E164" s="20"/>
      <c r="F164" s="208"/>
      <c r="I164" s="208"/>
      <c r="M164" s="175"/>
      <c r="N164" s="21"/>
      <c r="P164" s="21"/>
      <c r="Q164" s="175"/>
      <c r="R164" s="74"/>
      <c r="T164" s="177" t="s">
        <v>123</v>
      </c>
      <c r="U164" s="196"/>
      <c r="V164" s="196"/>
      <c r="W164" s="182"/>
      <c r="X164" s="197">
        <f>+X163</f>
        <v>-0.13450662897795862</v>
      </c>
      <c r="Y164" s="206">
        <f>+Y163</f>
        <v>289082.00835939788</v>
      </c>
    </row>
    <row r="165" spans="1:25" s="60" customFormat="1" hidden="1" x14ac:dyDescent="0.2">
      <c r="A165" s="203"/>
      <c r="B165" s="208"/>
      <c r="F165" s="208"/>
      <c r="I165" s="174"/>
      <c r="J165" s="173"/>
      <c r="K165" s="173"/>
      <c r="L165" s="173"/>
      <c r="M165" s="20"/>
      <c r="N165" s="173"/>
      <c r="P165" s="173"/>
      <c r="Q165" s="20"/>
      <c r="R165" s="74"/>
      <c r="T165" s="181" t="s">
        <v>71</v>
      </c>
      <c r="U165" s="196"/>
      <c r="V165" s="196"/>
      <c r="W165" s="182"/>
      <c r="X165" s="179">
        <f>+U163</f>
        <v>4.933918079933837E-2</v>
      </c>
      <c r="Y165" s="206" t="e">
        <f>+T163-#REF!</f>
        <v>#REF!</v>
      </c>
    </row>
    <row r="166" spans="1:25" hidden="1" x14ac:dyDescent="0.2">
      <c r="M166" s="60"/>
      <c r="N166" s="70"/>
      <c r="P166" s="70"/>
      <c r="Q166" s="60"/>
      <c r="R166" s="74"/>
      <c r="S166" s="60"/>
      <c r="T166" s="182" t="s">
        <v>106</v>
      </c>
      <c r="U166" s="196"/>
      <c r="V166" s="196"/>
      <c r="W166" s="182"/>
      <c r="X166" s="179">
        <f>+(T163-I163)/I163</f>
        <v>-2.8766905750554336E-2</v>
      </c>
      <c r="Y166" s="206">
        <f>+T163-I163</f>
        <v>-201785.94999999925</v>
      </c>
    </row>
    <row r="167" spans="1:25" hidden="1" x14ac:dyDescent="0.2">
      <c r="E167" s="166"/>
      <c r="F167" s="166"/>
      <c r="G167" s="166"/>
      <c r="H167" s="166"/>
      <c r="I167" s="166"/>
      <c r="J167" s="166"/>
      <c r="K167" s="166"/>
      <c r="L167" s="166"/>
      <c r="M167" s="210"/>
      <c r="N167" s="21"/>
      <c r="O167" s="210"/>
      <c r="P167" s="21"/>
      <c r="Q167" s="74"/>
      <c r="R167" s="74"/>
      <c r="S167" s="60"/>
      <c r="T167" s="74"/>
      <c r="U167" s="74"/>
      <c r="V167" s="74"/>
      <c r="Y167" s="202"/>
    </row>
    <row r="168" spans="1:25" hidden="1" x14ac:dyDescent="0.2">
      <c r="A168" s="91"/>
      <c r="Q168" s="74"/>
      <c r="R168" s="74"/>
      <c r="S168" s="60"/>
    </row>
    <row r="169" spans="1:25" x14ac:dyDescent="0.2">
      <c r="W169" s="152"/>
    </row>
  </sheetData>
  <mergeCells count="1">
    <mergeCell ref="B5:C5"/>
  </mergeCells>
  <phoneticPr fontId="6" type="noConversion"/>
  <pageMargins left="0.25" right="0.2" top="0.5" bottom="0.2" header="0.5" footer="0.5"/>
  <pageSetup scale="67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4"/>
  <sheetViews>
    <sheetView zoomScaleNormal="100" workbookViewId="0">
      <selection activeCell="E23" sqref="E23"/>
    </sheetView>
  </sheetViews>
  <sheetFormatPr defaultRowHeight="12.75" x14ac:dyDescent="0.2"/>
  <cols>
    <col min="1" max="1" width="30.7109375" style="9" customWidth="1"/>
    <col min="2" max="2" width="11.7109375" style="9" customWidth="1"/>
    <col min="3" max="3" width="12.5703125" style="9" customWidth="1"/>
    <col min="4" max="4" width="1.42578125" style="9" customWidth="1"/>
    <col min="5" max="5" width="12.85546875" style="37" bestFit="1" customWidth="1"/>
    <col min="6" max="6" width="1.85546875" style="37" customWidth="1"/>
    <col min="7" max="7" width="11.5703125" style="37" customWidth="1"/>
    <col min="8" max="8" width="4.7109375" style="37" customWidth="1"/>
    <col min="9" max="9" width="31.5703125" style="37" customWidth="1"/>
    <col min="10" max="10" width="1.5703125" style="37" customWidth="1"/>
    <col min="11" max="11" width="13.42578125" style="37" customWidth="1"/>
    <col min="12" max="12" width="1.140625" style="37" customWidth="1"/>
    <col min="13" max="13" width="11.7109375" style="37" customWidth="1"/>
    <col min="14" max="14" width="1.42578125" style="37" customWidth="1"/>
    <col min="15" max="15" width="11.28515625" style="37" customWidth="1"/>
    <col min="16" max="16" width="13.140625" style="37" customWidth="1"/>
    <col min="17" max="17" width="13.7109375" style="37" customWidth="1"/>
    <col min="18" max="18" width="12.85546875" style="37" customWidth="1"/>
    <col min="19" max="19" width="14.5703125" style="37" customWidth="1"/>
    <col min="20" max="20" width="12.85546875" style="37" customWidth="1"/>
    <col min="21" max="21" width="13.5703125" style="37" bestFit="1" customWidth="1"/>
    <col min="22" max="22" width="12.85546875" style="37" customWidth="1"/>
    <col min="23" max="23" width="14.28515625" style="37" customWidth="1"/>
    <col min="24" max="24" width="13.7109375" style="37" customWidth="1"/>
    <col min="25" max="25" width="14.28515625" style="37" customWidth="1"/>
    <col min="26" max="27" width="12.85546875" style="37" customWidth="1"/>
    <col min="28" max="28" width="15" style="37" customWidth="1"/>
    <col min="29" max="29" width="15.140625" style="9" customWidth="1"/>
    <col min="30" max="30" width="14" style="9" customWidth="1"/>
    <col min="31" max="16384" width="9.140625" style="9"/>
  </cols>
  <sheetData>
    <row r="1" spans="1:28" s="20" customFormat="1" x14ac:dyDescent="0.2">
      <c r="A1" s="284" t="s">
        <v>161</v>
      </c>
      <c r="B1" s="44"/>
      <c r="C1" s="24" t="s">
        <v>0</v>
      </c>
      <c r="E1" s="43"/>
      <c r="F1" s="43"/>
      <c r="G1" s="230"/>
      <c r="H1" s="230"/>
      <c r="I1" s="95"/>
      <c r="J1" s="95"/>
      <c r="K1" s="24" t="s">
        <v>0</v>
      </c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s="20" customFormat="1" x14ac:dyDescent="0.2">
      <c r="A2" s="283" t="s">
        <v>162</v>
      </c>
      <c r="B2" s="44"/>
      <c r="C2" s="24" t="s">
        <v>87</v>
      </c>
      <c r="E2" s="43"/>
      <c r="F2" s="43"/>
      <c r="G2" s="230"/>
      <c r="H2" s="230"/>
      <c r="I2" s="95"/>
      <c r="J2" s="95"/>
      <c r="K2" s="24" t="s">
        <v>86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s="20" customFormat="1" x14ac:dyDescent="0.2">
      <c r="B3" s="44"/>
      <c r="C3" s="24" t="s">
        <v>189</v>
      </c>
      <c r="E3" s="44"/>
      <c r="F3" s="44"/>
      <c r="G3" s="231"/>
      <c r="H3" s="230"/>
      <c r="I3" s="95"/>
      <c r="J3" s="95"/>
      <c r="K3" s="24" t="s">
        <v>189</v>
      </c>
      <c r="Q3" s="232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28" s="20" customFormat="1" x14ac:dyDescent="0.2">
      <c r="B4" s="44"/>
      <c r="E4" s="43"/>
      <c r="F4" s="43"/>
      <c r="G4" s="230"/>
      <c r="H4" s="230"/>
      <c r="I4" s="95"/>
      <c r="J4" s="95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20" customFormat="1" x14ac:dyDescent="0.2">
      <c r="B5" s="233"/>
      <c r="C5" s="24" t="s">
        <v>41</v>
      </c>
      <c r="E5" s="43"/>
      <c r="F5" s="43"/>
      <c r="G5" s="230"/>
      <c r="H5" s="230"/>
      <c r="I5" s="95"/>
      <c r="J5" s="95"/>
      <c r="K5" s="24" t="s">
        <v>152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8" ht="13.5" thickBot="1" x14ac:dyDescent="0.25">
      <c r="A6" s="234"/>
      <c r="B6" s="234"/>
      <c r="C6" s="27" t="s">
        <v>201</v>
      </c>
      <c r="D6" s="234"/>
      <c r="E6" s="63"/>
      <c r="F6" s="63"/>
      <c r="G6" s="41"/>
      <c r="H6" s="41"/>
      <c r="I6" s="235"/>
      <c r="J6" s="23"/>
      <c r="K6" s="24" t="s">
        <v>202</v>
      </c>
      <c r="L6" s="9"/>
      <c r="M6" s="9"/>
      <c r="N6" s="9"/>
      <c r="O6" s="9"/>
      <c r="P6" s="9"/>
    </row>
    <row r="7" spans="1:28" ht="13.5" thickTop="1" x14ac:dyDescent="0.2">
      <c r="A7" s="236"/>
      <c r="B7" s="25"/>
      <c r="C7" s="25"/>
      <c r="D7" s="25"/>
      <c r="E7" s="64"/>
      <c r="F7" s="64"/>
      <c r="G7" s="237"/>
      <c r="I7" s="238"/>
      <c r="J7" s="25"/>
      <c r="K7" s="110"/>
      <c r="L7" s="25"/>
      <c r="M7" s="25"/>
      <c r="N7" s="25"/>
      <c r="O7" s="25"/>
      <c r="P7" s="239"/>
    </row>
    <row r="8" spans="1:28" s="20" customFormat="1" x14ac:dyDescent="0.2">
      <c r="A8" s="240"/>
      <c r="B8" s="24" t="s">
        <v>41</v>
      </c>
      <c r="C8" s="24" t="s">
        <v>41</v>
      </c>
      <c r="D8" s="50"/>
      <c r="E8" s="50" t="s">
        <v>19</v>
      </c>
      <c r="F8" s="45"/>
      <c r="G8" s="241" t="s">
        <v>20</v>
      </c>
      <c r="H8" s="26"/>
      <c r="I8" s="242"/>
      <c r="J8" s="95"/>
      <c r="K8" s="26" t="s">
        <v>203</v>
      </c>
      <c r="M8" s="26" t="s">
        <v>203</v>
      </c>
      <c r="O8" s="24" t="s">
        <v>19</v>
      </c>
      <c r="P8" s="243" t="s">
        <v>20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1:28" s="20" customFormat="1" x14ac:dyDescent="0.2">
      <c r="A9" s="240" t="s">
        <v>30</v>
      </c>
      <c r="B9" s="24" t="s">
        <v>190</v>
      </c>
      <c r="C9" s="24" t="s">
        <v>157</v>
      </c>
      <c r="D9" s="244"/>
      <c r="E9" s="26" t="s">
        <v>21</v>
      </c>
      <c r="F9" s="39"/>
      <c r="G9" s="245" t="s">
        <v>21</v>
      </c>
      <c r="H9" s="26"/>
      <c r="I9" s="240" t="s">
        <v>30</v>
      </c>
      <c r="J9" s="95"/>
      <c r="K9" s="24" t="s">
        <v>190</v>
      </c>
      <c r="M9" s="24" t="s">
        <v>157</v>
      </c>
      <c r="O9" s="24" t="s">
        <v>21</v>
      </c>
      <c r="P9" s="243" t="s">
        <v>21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1:28" s="20" customFormat="1" x14ac:dyDescent="0.2">
      <c r="A10" s="246"/>
      <c r="B10" s="65"/>
      <c r="C10" s="65"/>
      <c r="D10" s="65"/>
      <c r="E10" s="51"/>
      <c r="F10" s="65"/>
      <c r="G10" s="247"/>
      <c r="H10" s="39"/>
      <c r="I10" s="248"/>
      <c r="J10" s="29"/>
      <c r="K10" s="28"/>
      <c r="L10" s="29"/>
      <c r="M10" s="28"/>
      <c r="N10" s="29"/>
      <c r="O10" s="29"/>
      <c r="P10" s="24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</row>
    <row r="11" spans="1:28" x14ac:dyDescent="0.2">
      <c r="A11" s="68"/>
      <c r="E11" s="52"/>
      <c r="F11" s="46"/>
      <c r="G11" s="250"/>
      <c r="I11" s="68"/>
      <c r="J11" s="23"/>
      <c r="K11" s="27"/>
      <c r="L11" s="23"/>
      <c r="M11" s="27"/>
      <c r="N11" s="23"/>
      <c r="O11" s="23"/>
      <c r="P11" s="251"/>
    </row>
    <row r="12" spans="1:28" x14ac:dyDescent="0.2">
      <c r="A12" s="252" t="s">
        <v>48</v>
      </c>
      <c r="B12" s="31">
        <f>+ROUND(V43,0)</f>
        <v>5341</v>
      </c>
      <c r="C12" s="304">
        <f>+ROUND(V79,0)</f>
        <v>5056</v>
      </c>
      <c r="D12" s="62"/>
      <c r="E12" s="304">
        <f>+B12-C12</f>
        <v>285</v>
      </c>
      <c r="F12" s="67"/>
      <c r="G12" s="253">
        <f>+E12/C12</f>
        <v>5.6368670886075951E-2</v>
      </c>
      <c r="I12" s="68" t="s">
        <v>48</v>
      </c>
      <c r="J12" s="23"/>
      <c r="K12" s="62">
        <f>+ROUND(D43+F43+H43+J43+L43+N43+P43+R43+T43+V43,0)</f>
        <v>116742</v>
      </c>
      <c r="L12" s="31"/>
      <c r="M12" s="31">
        <f>+ROUND(D79+F79+H79+J79+L79+N79+P79+R79+T79+V79,0)</f>
        <v>112857</v>
      </c>
      <c r="N12" s="31"/>
      <c r="O12" s="31">
        <f t="shared" ref="O12:O19" si="0">+K12-M12</f>
        <v>3885</v>
      </c>
      <c r="P12" s="253">
        <f>+O12/M12</f>
        <v>3.4424094207714188E-2</v>
      </c>
    </row>
    <row r="13" spans="1:28" x14ac:dyDescent="0.2">
      <c r="A13" s="252" t="s">
        <v>22</v>
      </c>
      <c r="B13" s="31">
        <f t="shared" ref="B13:B34" si="1">+ROUND(V44,0)</f>
        <v>3852</v>
      </c>
      <c r="C13" s="304">
        <f t="shared" ref="C13:C34" si="2">+ROUND(V80,0)</f>
        <v>0</v>
      </c>
      <c r="D13" s="62"/>
      <c r="E13" s="304">
        <f t="shared" ref="E13:E34" si="3">+B13-C13</f>
        <v>3852</v>
      </c>
      <c r="F13" s="40"/>
      <c r="G13" s="253">
        <v>0</v>
      </c>
      <c r="I13" s="68" t="s">
        <v>22</v>
      </c>
      <c r="J13" s="23"/>
      <c r="K13" s="62">
        <f t="shared" ref="K13:K34" si="4">+ROUND(D44+F44+H44+J44+L44+N44+P44+R44+T44+V44,0)</f>
        <v>16642</v>
      </c>
      <c r="L13" s="31"/>
      <c r="M13" s="31">
        <f t="shared" ref="M13:M34" si="5">+ROUND(D80+F80+H80+J80+L80+N80+P80+R80+T80+V80,0)</f>
        <v>14026</v>
      </c>
      <c r="N13" s="31"/>
      <c r="O13" s="31">
        <f t="shared" si="0"/>
        <v>2616</v>
      </c>
      <c r="P13" s="253">
        <v>0</v>
      </c>
    </row>
    <row r="14" spans="1:28" x14ac:dyDescent="0.2">
      <c r="A14" s="252" t="s">
        <v>49</v>
      </c>
      <c r="B14" s="31">
        <f t="shared" si="1"/>
        <v>254994</v>
      </c>
      <c r="C14" s="304">
        <f t="shared" si="2"/>
        <v>282485</v>
      </c>
      <c r="D14" s="62"/>
      <c r="E14" s="304">
        <f t="shared" si="3"/>
        <v>-27491</v>
      </c>
      <c r="F14" s="40"/>
      <c r="G14" s="253">
        <f t="shared" ref="G14:G34" si="6">+E14/C14</f>
        <v>-9.731844168716923E-2</v>
      </c>
      <c r="I14" s="68" t="s">
        <v>49</v>
      </c>
      <c r="J14" s="23"/>
      <c r="K14" s="62">
        <f t="shared" si="4"/>
        <v>2234452</v>
      </c>
      <c r="L14" s="31"/>
      <c r="M14" s="31">
        <f t="shared" si="5"/>
        <v>2333254</v>
      </c>
      <c r="N14" s="31"/>
      <c r="O14" s="31">
        <f t="shared" si="0"/>
        <v>-98802</v>
      </c>
      <c r="P14" s="253">
        <f t="shared" ref="P14:P19" si="7">+O14/M14</f>
        <v>-4.2345154020951001E-2</v>
      </c>
    </row>
    <row r="15" spans="1:28" x14ac:dyDescent="0.2">
      <c r="A15" s="252" t="s">
        <v>23</v>
      </c>
      <c r="B15" s="356">
        <f t="shared" si="1"/>
        <v>645403</v>
      </c>
      <c r="C15" s="357">
        <f t="shared" si="2"/>
        <v>510094</v>
      </c>
      <c r="D15" s="206"/>
      <c r="E15" s="357">
        <f t="shared" si="3"/>
        <v>135309</v>
      </c>
      <c r="F15" s="361"/>
      <c r="G15" s="362">
        <f t="shared" si="6"/>
        <v>0.26526287311750385</v>
      </c>
      <c r="I15" s="68" t="s">
        <v>23</v>
      </c>
      <c r="J15" s="23"/>
      <c r="K15" s="206">
        <f t="shared" si="4"/>
        <v>7045481</v>
      </c>
      <c r="L15" s="356"/>
      <c r="M15" s="356">
        <f t="shared" si="5"/>
        <v>6730861</v>
      </c>
      <c r="N15" s="356"/>
      <c r="O15" s="356">
        <f t="shared" si="0"/>
        <v>314620</v>
      </c>
      <c r="P15" s="362">
        <f t="shared" si="7"/>
        <v>4.6742905551013458E-2</v>
      </c>
    </row>
    <row r="16" spans="1:28" x14ac:dyDescent="0.2">
      <c r="A16" s="252" t="s">
        <v>24</v>
      </c>
      <c r="B16" s="31">
        <f t="shared" si="1"/>
        <v>111438</v>
      </c>
      <c r="C16" s="304">
        <f t="shared" si="2"/>
        <v>21735</v>
      </c>
      <c r="D16" s="62"/>
      <c r="E16" s="304">
        <f t="shared" si="3"/>
        <v>89703</v>
      </c>
      <c r="F16" s="40"/>
      <c r="G16" s="253">
        <f t="shared" si="6"/>
        <v>4.1271221532091094</v>
      </c>
      <c r="I16" s="68" t="s">
        <v>24</v>
      </c>
      <c r="J16" s="23"/>
      <c r="K16" s="206">
        <f t="shared" si="4"/>
        <v>1374453</v>
      </c>
      <c r="L16" s="356"/>
      <c r="M16" s="356">
        <f t="shared" si="5"/>
        <v>1182392</v>
      </c>
      <c r="N16" s="356"/>
      <c r="O16" s="356">
        <f t="shared" si="0"/>
        <v>192061</v>
      </c>
      <c r="P16" s="362">
        <f t="shared" si="7"/>
        <v>0.16243428575294827</v>
      </c>
    </row>
    <row r="17" spans="1:16" x14ac:dyDescent="0.2">
      <c r="A17" s="252" t="s">
        <v>25</v>
      </c>
      <c r="B17" s="31">
        <f t="shared" si="1"/>
        <v>80372</v>
      </c>
      <c r="C17" s="304">
        <f t="shared" si="2"/>
        <v>112239</v>
      </c>
      <c r="D17" s="62"/>
      <c r="E17" s="304">
        <f t="shared" si="3"/>
        <v>-31867</v>
      </c>
      <c r="F17" s="40"/>
      <c r="G17" s="253">
        <f t="shared" si="6"/>
        <v>-0.28392091875373088</v>
      </c>
      <c r="I17" s="68" t="s">
        <v>25</v>
      </c>
      <c r="J17" s="23"/>
      <c r="K17" s="62">
        <f t="shared" si="4"/>
        <v>1434299</v>
      </c>
      <c r="L17" s="31"/>
      <c r="M17" s="31">
        <f t="shared" si="5"/>
        <v>1306908</v>
      </c>
      <c r="N17" s="31"/>
      <c r="O17" s="31">
        <f t="shared" si="0"/>
        <v>127391</v>
      </c>
      <c r="P17" s="253">
        <f t="shared" si="7"/>
        <v>9.7475109189017126E-2</v>
      </c>
    </row>
    <row r="18" spans="1:16" x14ac:dyDescent="0.2">
      <c r="A18" s="252" t="s">
        <v>47</v>
      </c>
      <c r="B18" s="356">
        <f t="shared" si="1"/>
        <v>2045176</v>
      </c>
      <c r="C18" s="357">
        <f t="shared" si="2"/>
        <v>1875515</v>
      </c>
      <c r="D18" s="62"/>
      <c r="E18" s="357">
        <f t="shared" si="3"/>
        <v>169661</v>
      </c>
      <c r="F18" s="361"/>
      <c r="G18" s="362">
        <f t="shared" si="6"/>
        <v>9.046102003982906E-2</v>
      </c>
      <c r="I18" s="68" t="s">
        <v>26</v>
      </c>
      <c r="J18" s="23"/>
      <c r="K18" s="206">
        <f t="shared" si="4"/>
        <v>23544720</v>
      </c>
      <c r="L18" s="356"/>
      <c r="M18" s="356">
        <f t="shared" si="5"/>
        <v>23107654</v>
      </c>
      <c r="N18" s="356"/>
      <c r="O18" s="356">
        <f t="shared" si="0"/>
        <v>437066</v>
      </c>
      <c r="P18" s="362">
        <f t="shared" si="7"/>
        <v>1.8914338945874819E-2</v>
      </c>
    </row>
    <row r="19" spans="1:16" ht="12.6" customHeight="1" x14ac:dyDescent="0.2">
      <c r="A19" s="252" t="s">
        <v>50</v>
      </c>
      <c r="B19" s="31">
        <f t="shared" si="1"/>
        <v>17270</v>
      </c>
      <c r="C19" s="304">
        <f t="shared" si="2"/>
        <v>7768</v>
      </c>
      <c r="D19" s="62"/>
      <c r="E19" s="304">
        <f t="shared" si="3"/>
        <v>9502</v>
      </c>
      <c r="F19" s="40"/>
      <c r="G19" s="253">
        <f t="shared" si="6"/>
        <v>1.2232234809474769</v>
      </c>
      <c r="I19" s="68" t="s">
        <v>50</v>
      </c>
      <c r="J19" s="23"/>
      <c r="K19" s="62">
        <f t="shared" si="4"/>
        <v>212327</v>
      </c>
      <c r="L19" s="31"/>
      <c r="M19" s="31">
        <f t="shared" si="5"/>
        <v>165803</v>
      </c>
      <c r="N19" s="31"/>
      <c r="O19" s="31">
        <f t="shared" si="0"/>
        <v>46524</v>
      </c>
      <c r="P19" s="253">
        <f t="shared" si="7"/>
        <v>0.28059805914247632</v>
      </c>
    </row>
    <row r="20" spans="1:16" x14ac:dyDescent="0.2">
      <c r="A20" s="252" t="s">
        <v>66</v>
      </c>
      <c r="B20" s="31">
        <f t="shared" si="1"/>
        <v>296179</v>
      </c>
      <c r="C20" s="304">
        <f t="shared" si="2"/>
        <v>290710</v>
      </c>
      <c r="D20" s="62"/>
      <c r="E20" s="304">
        <f t="shared" si="3"/>
        <v>5469</v>
      </c>
      <c r="F20" s="40"/>
      <c r="G20" s="253">
        <f t="shared" si="6"/>
        <v>1.8812562347356471E-2</v>
      </c>
      <c r="I20" s="68" t="s">
        <v>55</v>
      </c>
      <c r="J20" s="23"/>
      <c r="K20" s="206">
        <f t="shared" si="4"/>
        <v>3163236</v>
      </c>
      <c r="L20" s="356"/>
      <c r="M20" s="356">
        <f t="shared" si="5"/>
        <v>3007297</v>
      </c>
      <c r="N20" s="356"/>
      <c r="O20" s="356">
        <f t="shared" ref="O20:O34" si="8">+K20-M20</f>
        <v>155939</v>
      </c>
      <c r="P20" s="362">
        <f>+O20/M20</f>
        <v>5.1853541569056867E-2</v>
      </c>
    </row>
    <row r="21" spans="1:16" x14ac:dyDescent="0.2">
      <c r="A21" s="252" t="s">
        <v>54</v>
      </c>
      <c r="B21" s="31">
        <f t="shared" si="1"/>
        <v>100524</v>
      </c>
      <c r="C21" s="304">
        <f t="shared" si="2"/>
        <v>91428</v>
      </c>
      <c r="D21" s="62"/>
      <c r="E21" s="304">
        <f t="shared" si="3"/>
        <v>9096</v>
      </c>
      <c r="F21" s="40"/>
      <c r="G21" s="253">
        <f t="shared" si="6"/>
        <v>9.9488121800761262E-2</v>
      </c>
      <c r="I21" s="68" t="s">
        <v>51</v>
      </c>
      <c r="J21" s="23"/>
      <c r="K21" s="62">
        <f t="shared" si="4"/>
        <v>1105728</v>
      </c>
      <c r="L21" s="31"/>
      <c r="M21" s="31">
        <f t="shared" si="5"/>
        <v>1026993</v>
      </c>
      <c r="N21" s="31"/>
      <c r="O21" s="31">
        <f t="shared" si="8"/>
        <v>78735</v>
      </c>
      <c r="P21" s="253">
        <f t="shared" ref="P21:P30" si="9">+O21/M21</f>
        <v>7.6665566367054114E-2</v>
      </c>
    </row>
    <row r="22" spans="1:16" x14ac:dyDescent="0.2">
      <c r="A22" s="252" t="s">
        <v>52</v>
      </c>
      <c r="B22" s="31">
        <f t="shared" si="1"/>
        <v>145471</v>
      </c>
      <c r="C22" s="304">
        <f t="shared" si="2"/>
        <v>109044</v>
      </c>
      <c r="D22" s="62"/>
      <c r="E22" s="304">
        <f t="shared" si="3"/>
        <v>36427</v>
      </c>
      <c r="F22" s="40"/>
      <c r="G22" s="253">
        <f t="shared" si="6"/>
        <v>0.33405781152562269</v>
      </c>
      <c r="I22" s="68" t="s">
        <v>52</v>
      </c>
      <c r="J22" s="23"/>
      <c r="K22" s="206">
        <f t="shared" si="4"/>
        <v>2216597</v>
      </c>
      <c r="L22" s="356"/>
      <c r="M22" s="356">
        <f t="shared" si="5"/>
        <v>1580733</v>
      </c>
      <c r="N22" s="356"/>
      <c r="O22" s="356">
        <f t="shared" si="8"/>
        <v>635864</v>
      </c>
      <c r="P22" s="362">
        <f t="shared" si="9"/>
        <v>0.40225895201782969</v>
      </c>
    </row>
    <row r="23" spans="1:16" x14ac:dyDescent="0.2">
      <c r="A23" s="252" t="s">
        <v>63</v>
      </c>
      <c r="B23" s="356">
        <f t="shared" si="1"/>
        <v>796467</v>
      </c>
      <c r="C23" s="357">
        <f t="shared" si="2"/>
        <v>653177</v>
      </c>
      <c r="D23" s="62"/>
      <c r="E23" s="357">
        <f t="shared" si="3"/>
        <v>143290</v>
      </c>
      <c r="F23" s="361"/>
      <c r="G23" s="362">
        <f t="shared" si="6"/>
        <v>0.21937392161695835</v>
      </c>
      <c r="I23" s="68" t="s">
        <v>56</v>
      </c>
      <c r="J23" s="23"/>
      <c r="K23" s="206">
        <f t="shared" si="4"/>
        <v>6802272</v>
      </c>
      <c r="L23" s="356"/>
      <c r="M23" s="356">
        <f t="shared" si="5"/>
        <v>6589563</v>
      </c>
      <c r="N23" s="356"/>
      <c r="O23" s="356">
        <f t="shared" si="8"/>
        <v>212709</v>
      </c>
      <c r="P23" s="362">
        <f t="shared" si="9"/>
        <v>3.2279682279386358E-2</v>
      </c>
    </row>
    <row r="24" spans="1:16" ht="13.5" customHeight="1" x14ac:dyDescent="0.2">
      <c r="A24" s="252" t="s">
        <v>53</v>
      </c>
      <c r="B24" s="31">
        <f t="shared" si="1"/>
        <v>9467</v>
      </c>
      <c r="C24" s="304">
        <f t="shared" si="2"/>
        <v>24434</v>
      </c>
      <c r="D24" s="62"/>
      <c r="E24" s="304">
        <f t="shared" si="3"/>
        <v>-14967</v>
      </c>
      <c r="F24" s="40"/>
      <c r="G24" s="253">
        <v>0</v>
      </c>
      <c r="I24" s="68" t="s">
        <v>53</v>
      </c>
      <c r="J24" s="23"/>
      <c r="K24" s="62">
        <f t="shared" si="4"/>
        <v>110608</v>
      </c>
      <c r="L24" s="31"/>
      <c r="M24" s="31">
        <f t="shared" si="5"/>
        <v>125079</v>
      </c>
      <c r="N24" s="31"/>
      <c r="O24" s="31">
        <f t="shared" si="8"/>
        <v>-14471</v>
      </c>
      <c r="P24" s="253">
        <f t="shared" si="9"/>
        <v>-0.11569488083531208</v>
      </c>
    </row>
    <row r="25" spans="1:16" x14ac:dyDescent="0.2">
      <c r="A25" s="252" t="s">
        <v>57</v>
      </c>
      <c r="B25" s="31">
        <f t="shared" si="1"/>
        <v>56285</v>
      </c>
      <c r="C25" s="304">
        <f t="shared" si="2"/>
        <v>57653</v>
      </c>
      <c r="D25" s="62"/>
      <c r="E25" s="304">
        <f t="shared" si="3"/>
        <v>-1368</v>
      </c>
      <c r="F25" s="40"/>
      <c r="G25" s="253">
        <f t="shared" si="6"/>
        <v>-2.3728166790973584E-2</v>
      </c>
      <c r="I25" s="68" t="s">
        <v>57</v>
      </c>
      <c r="J25" s="23"/>
      <c r="K25" s="62">
        <f t="shared" si="4"/>
        <v>777881</v>
      </c>
      <c r="L25" s="31"/>
      <c r="M25" s="31">
        <f t="shared" si="5"/>
        <v>748966</v>
      </c>
      <c r="N25" s="31"/>
      <c r="O25" s="31">
        <f t="shared" si="8"/>
        <v>28915</v>
      </c>
      <c r="P25" s="253">
        <f t="shared" si="9"/>
        <v>3.8606558909216174E-2</v>
      </c>
    </row>
    <row r="26" spans="1:16" x14ac:dyDescent="0.2">
      <c r="A26" s="252" t="s">
        <v>58</v>
      </c>
      <c r="B26" s="31">
        <f t="shared" si="1"/>
        <v>26729</v>
      </c>
      <c r="C26" s="304">
        <f t="shared" si="2"/>
        <v>76195</v>
      </c>
      <c r="D26" s="62"/>
      <c r="E26" s="304">
        <f t="shared" si="3"/>
        <v>-49466</v>
      </c>
      <c r="F26" s="40"/>
      <c r="G26" s="253">
        <f t="shared" si="6"/>
        <v>-0.64920270358947441</v>
      </c>
      <c r="I26" s="68" t="s">
        <v>58</v>
      </c>
      <c r="J26" s="23"/>
      <c r="K26" s="62">
        <f t="shared" si="4"/>
        <v>593877</v>
      </c>
      <c r="L26" s="31"/>
      <c r="M26" s="31">
        <f t="shared" si="5"/>
        <v>586476</v>
      </c>
      <c r="N26" s="31"/>
      <c r="O26" s="31">
        <f t="shared" si="8"/>
        <v>7401</v>
      </c>
      <c r="P26" s="253">
        <f t="shared" si="9"/>
        <v>1.2619442227814949E-2</v>
      </c>
    </row>
    <row r="27" spans="1:16" x14ac:dyDescent="0.2">
      <c r="A27" s="252" t="s">
        <v>64</v>
      </c>
      <c r="B27" s="356">
        <f t="shared" si="1"/>
        <v>406996</v>
      </c>
      <c r="C27" s="357">
        <f t="shared" si="2"/>
        <v>131694</v>
      </c>
      <c r="D27" s="62"/>
      <c r="E27" s="357">
        <f t="shared" si="3"/>
        <v>275302</v>
      </c>
      <c r="F27" s="361"/>
      <c r="G27" s="362">
        <f t="shared" si="6"/>
        <v>2.090467295396905</v>
      </c>
      <c r="I27" s="68" t="s">
        <v>59</v>
      </c>
      <c r="J27" s="23"/>
      <c r="K27" s="206">
        <f t="shared" si="4"/>
        <v>4150364</v>
      </c>
      <c r="L27" s="356"/>
      <c r="M27" s="356">
        <f t="shared" si="5"/>
        <v>3654750</v>
      </c>
      <c r="N27" s="356"/>
      <c r="O27" s="356">
        <f t="shared" si="8"/>
        <v>495614</v>
      </c>
      <c r="P27" s="362">
        <f t="shared" si="9"/>
        <v>0.1356081811341405</v>
      </c>
    </row>
    <row r="28" spans="1:16" x14ac:dyDescent="0.2">
      <c r="A28" s="252" t="s">
        <v>60</v>
      </c>
      <c r="B28" s="31">
        <f t="shared" si="1"/>
        <v>40366</v>
      </c>
      <c r="C28" s="304">
        <f t="shared" si="2"/>
        <v>41624</v>
      </c>
      <c r="D28" s="62"/>
      <c r="E28" s="304">
        <f t="shared" si="3"/>
        <v>-1258</v>
      </c>
      <c r="F28" s="40"/>
      <c r="G28" s="253">
        <f t="shared" si="6"/>
        <v>-3.0222948299058236E-2</v>
      </c>
      <c r="I28" s="68" t="s">
        <v>60</v>
      </c>
      <c r="J28" s="23"/>
      <c r="K28" s="62">
        <f t="shared" si="4"/>
        <v>579328</v>
      </c>
      <c r="L28" s="31"/>
      <c r="M28" s="31">
        <f t="shared" si="5"/>
        <v>490504</v>
      </c>
      <c r="N28" s="31"/>
      <c r="O28" s="31">
        <f t="shared" si="8"/>
        <v>88824</v>
      </c>
      <c r="P28" s="253">
        <f t="shared" si="9"/>
        <v>0.18108720825925986</v>
      </c>
    </row>
    <row r="29" spans="1:16" x14ac:dyDescent="0.2">
      <c r="A29" s="252" t="s">
        <v>61</v>
      </c>
      <c r="B29" s="31">
        <f t="shared" si="1"/>
        <v>858023</v>
      </c>
      <c r="C29" s="304">
        <f t="shared" si="2"/>
        <v>892751</v>
      </c>
      <c r="D29" s="62"/>
      <c r="E29" s="304">
        <f t="shared" si="3"/>
        <v>-34728</v>
      </c>
      <c r="F29" s="40"/>
      <c r="G29" s="253">
        <f t="shared" si="6"/>
        <v>-3.8899984430149054E-2</v>
      </c>
      <c r="I29" s="68" t="s">
        <v>61</v>
      </c>
      <c r="J29" s="23"/>
      <c r="K29" s="206">
        <f t="shared" si="4"/>
        <v>11217120</v>
      </c>
      <c r="L29" s="356"/>
      <c r="M29" s="356">
        <f t="shared" si="5"/>
        <v>10360086</v>
      </c>
      <c r="N29" s="356"/>
      <c r="O29" s="356">
        <f t="shared" si="8"/>
        <v>857034</v>
      </c>
      <c r="P29" s="362">
        <f t="shared" si="9"/>
        <v>8.2724602865265784E-2</v>
      </c>
    </row>
    <row r="30" spans="1:16" x14ac:dyDescent="0.2">
      <c r="A30" s="252" t="s">
        <v>65</v>
      </c>
      <c r="B30" s="358">
        <f t="shared" si="1"/>
        <v>643543</v>
      </c>
      <c r="C30" s="359">
        <f t="shared" si="2"/>
        <v>821646</v>
      </c>
      <c r="D30" s="62"/>
      <c r="E30" s="359">
        <f t="shared" si="3"/>
        <v>-178103</v>
      </c>
      <c r="F30" s="349"/>
      <c r="G30" s="363">
        <f t="shared" si="6"/>
        <v>-0.21676366707803604</v>
      </c>
      <c r="I30" s="68" t="s">
        <v>65</v>
      </c>
      <c r="J30" s="23"/>
      <c r="K30" s="62">
        <f t="shared" si="4"/>
        <v>8025374</v>
      </c>
      <c r="L30" s="31"/>
      <c r="M30" s="31">
        <f t="shared" si="5"/>
        <v>8004968</v>
      </c>
      <c r="N30" s="31"/>
      <c r="O30" s="31">
        <f t="shared" si="8"/>
        <v>20406</v>
      </c>
      <c r="P30" s="253">
        <f t="shared" si="9"/>
        <v>2.5491669673132983E-3</v>
      </c>
    </row>
    <row r="31" spans="1:16" x14ac:dyDescent="0.2">
      <c r="A31" s="252" t="s">
        <v>62</v>
      </c>
      <c r="B31" s="31">
        <f t="shared" si="1"/>
        <v>0</v>
      </c>
      <c r="C31" s="304">
        <f t="shared" si="2"/>
        <v>0</v>
      </c>
      <c r="D31" s="62"/>
      <c r="E31" s="304">
        <f t="shared" si="3"/>
        <v>0</v>
      </c>
      <c r="F31" s="40"/>
      <c r="G31" s="253">
        <v>0</v>
      </c>
      <c r="I31" s="68" t="s">
        <v>62</v>
      </c>
      <c r="J31" s="23"/>
      <c r="K31" s="62">
        <f t="shared" si="4"/>
        <v>122</v>
      </c>
      <c r="L31" s="31"/>
      <c r="M31" s="31">
        <f t="shared" si="5"/>
        <v>0</v>
      </c>
      <c r="N31" s="31"/>
      <c r="O31" s="31">
        <f t="shared" si="8"/>
        <v>122</v>
      </c>
      <c r="P31" s="253">
        <v>0</v>
      </c>
    </row>
    <row r="32" spans="1:16" x14ac:dyDescent="0.2">
      <c r="A32" s="252" t="s">
        <v>46</v>
      </c>
      <c r="B32" s="31">
        <f t="shared" si="1"/>
        <v>60219</v>
      </c>
      <c r="C32" s="304">
        <f t="shared" si="2"/>
        <v>82586</v>
      </c>
      <c r="D32" s="62"/>
      <c r="E32" s="304">
        <f t="shared" si="3"/>
        <v>-22367</v>
      </c>
      <c r="G32" s="253">
        <f t="shared" si="6"/>
        <v>-0.27083282880875692</v>
      </c>
      <c r="I32" s="68" t="s">
        <v>46</v>
      </c>
      <c r="J32" s="23"/>
      <c r="K32" s="360">
        <f t="shared" si="4"/>
        <v>686677</v>
      </c>
      <c r="L32" s="358"/>
      <c r="M32" s="358">
        <f t="shared" si="5"/>
        <v>981658</v>
      </c>
      <c r="N32" s="358"/>
      <c r="O32" s="358">
        <f t="shared" si="8"/>
        <v>-294981</v>
      </c>
      <c r="P32" s="363">
        <f>+O32/M32</f>
        <v>-0.30049263592819497</v>
      </c>
    </row>
    <row r="33" spans="1:29" x14ac:dyDescent="0.2">
      <c r="A33" s="254" t="s">
        <v>131</v>
      </c>
      <c r="B33" s="356">
        <f t="shared" si="1"/>
        <v>951224</v>
      </c>
      <c r="C33" s="357">
        <f t="shared" si="2"/>
        <v>575958</v>
      </c>
      <c r="D33" s="62"/>
      <c r="E33" s="357">
        <f t="shared" si="3"/>
        <v>375266</v>
      </c>
      <c r="F33" s="361"/>
      <c r="G33" s="362">
        <f t="shared" si="6"/>
        <v>0.65155098114793097</v>
      </c>
      <c r="I33" s="254" t="s">
        <v>131</v>
      </c>
      <c r="J33" s="23"/>
      <c r="K33" s="206">
        <f t="shared" si="4"/>
        <v>8958107</v>
      </c>
      <c r="L33" s="356"/>
      <c r="M33" s="356">
        <f t="shared" si="5"/>
        <v>8230718</v>
      </c>
      <c r="N33" s="356"/>
      <c r="O33" s="356">
        <f t="shared" si="8"/>
        <v>727389</v>
      </c>
      <c r="P33" s="362">
        <f>+O33/M33</f>
        <v>8.8374914557879394E-2</v>
      </c>
    </row>
    <row r="34" spans="1:29" x14ac:dyDescent="0.2">
      <c r="A34" s="252" t="s">
        <v>98</v>
      </c>
      <c r="B34" s="31">
        <f t="shared" si="1"/>
        <v>9922</v>
      </c>
      <c r="C34" s="304">
        <f t="shared" si="2"/>
        <v>40335</v>
      </c>
      <c r="D34" s="62"/>
      <c r="E34" s="304">
        <f t="shared" si="3"/>
        <v>-30413</v>
      </c>
      <c r="F34" s="212"/>
      <c r="G34" s="253">
        <f t="shared" si="6"/>
        <v>-0.75401016486922023</v>
      </c>
      <c r="I34" s="68" t="s">
        <v>98</v>
      </c>
      <c r="J34" s="23"/>
      <c r="K34" s="360">
        <f t="shared" si="4"/>
        <v>274589</v>
      </c>
      <c r="L34" s="358"/>
      <c r="M34" s="358">
        <f t="shared" si="5"/>
        <v>386882</v>
      </c>
      <c r="N34" s="358"/>
      <c r="O34" s="358">
        <f t="shared" si="8"/>
        <v>-112293</v>
      </c>
      <c r="P34" s="363">
        <f>+O34/M34</f>
        <v>-0.29025129109134051</v>
      </c>
    </row>
    <row r="35" spans="1:29" s="20" customFormat="1" ht="13.5" thickBot="1" x14ac:dyDescent="0.25">
      <c r="A35" s="255" t="s">
        <v>85</v>
      </c>
      <c r="B35" s="33">
        <f>SUM(B12:B34)</f>
        <v>7565261</v>
      </c>
      <c r="C35" s="33">
        <f>SUM(C12:C34)</f>
        <v>6704127</v>
      </c>
      <c r="D35" s="33"/>
      <c r="E35" s="33">
        <f>SUM(E12:E34)</f>
        <v>861134</v>
      </c>
      <c r="F35" s="69"/>
      <c r="G35" s="256">
        <f>+E35/C35</f>
        <v>0.1284483423419634</v>
      </c>
      <c r="H35" s="39"/>
      <c r="I35" s="257" t="s">
        <v>85</v>
      </c>
      <c r="J35" s="258"/>
      <c r="K35" s="32">
        <f>SUM(K12:K34)</f>
        <v>84640996</v>
      </c>
      <c r="L35" s="33"/>
      <c r="M35" s="32">
        <f>SUM(M12:M34)</f>
        <v>80728428</v>
      </c>
      <c r="N35" s="33"/>
      <c r="O35" s="32">
        <f>SUM(O12:O34)</f>
        <v>3912568</v>
      </c>
      <c r="P35" s="256">
        <f>+O35/M35</f>
        <v>4.8465801910573557E-2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29" ht="15.75" thickTop="1" x14ac:dyDescent="0.2">
      <c r="B36" s="60"/>
      <c r="E36" s="47"/>
      <c r="F36" s="47"/>
      <c r="G36" s="47"/>
    </row>
    <row r="37" spans="1:29" ht="15" x14ac:dyDescent="0.2">
      <c r="A37" s="9" t="s">
        <v>0</v>
      </c>
      <c r="B37" s="60"/>
      <c r="E37" s="47"/>
      <c r="F37" s="47"/>
      <c r="G37" s="47"/>
    </row>
    <row r="38" spans="1:29" ht="15" x14ac:dyDescent="0.2">
      <c r="A38" s="9" t="s">
        <v>83</v>
      </c>
      <c r="B38" s="60"/>
      <c r="E38" s="47"/>
      <c r="F38" s="47"/>
      <c r="G38" s="47"/>
    </row>
    <row r="39" spans="1:29" x14ac:dyDescent="0.2">
      <c r="A39" s="20" t="s">
        <v>191</v>
      </c>
      <c r="B39" s="60"/>
      <c r="C39" s="38" t="s">
        <v>28</v>
      </c>
      <c r="D39" s="38" t="s">
        <v>29</v>
      </c>
      <c r="E39" s="38" t="s">
        <v>28</v>
      </c>
      <c r="F39" s="38" t="s">
        <v>29</v>
      </c>
      <c r="G39" s="38" t="s">
        <v>28</v>
      </c>
      <c r="H39" s="38" t="s">
        <v>29</v>
      </c>
      <c r="I39" s="38" t="s">
        <v>28</v>
      </c>
      <c r="J39" s="38" t="s">
        <v>29</v>
      </c>
      <c r="K39" s="38" t="s">
        <v>28</v>
      </c>
      <c r="L39" s="38" t="s">
        <v>29</v>
      </c>
      <c r="M39" s="38" t="s">
        <v>28</v>
      </c>
      <c r="N39" s="38" t="s">
        <v>29</v>
      </c>
      <c r="O39" s="38" t="s">
        <v>28</v>
      </c>
      <c r="P39" s="38" t="s">
        <v>29</v>
      </c>
      <c r="Q39" s="38" t="s">
        <v>28</v>
      </c>
      <c r="R39" s="38" t="s">
        <v>29</v>
      </c>
      <c r="S39" s="38" t="s">
        <v>28</v>
      </c>
      <c r="T39" s="38" t="s">
        <v>29</v>
      </c>
      <c r="U39" s="38" t="s">
        <v>28</v>
      </c>
      <c r="V39" s="38" t="s">
        <v>29</v>
      </c>
      <c r="W39" s="38" t="s">
        <v>28</v>
      </c>
      <c r="X39" s="38" t="s">
        <v>29</v>
      </c>
      <c r="Y39" s="38" t="s">
        <v>28</v>
      </c>
      <c r="Z39" s="38" t="s">
        <v>29</v>
      </c>
      <c r="AA39" s="38"/>
      <c r="AB39" s="38"/>
    </row>
    <row r="40" spans="1:29" x14ac:dyDescent="0.2">
      <c r="A40" s="259"/>
      <c r="B40" s="60"/>
      <c r="C40" s="37"/>
      <c r="D40" s="38" t="s">
        <v>84</v>
      </c>
      <c r="F40" s="38" t="s">
        <v>84</v>
      </c>
      <c r="H40" s="38" t="s">
        <v>84</v>
      </c>
      <c r="J40" s="38" t="s">
        <v>84</v>
      </c>
      <c r="L40" s="38" t="s">
        <v>84</v>
      </c>
      <c r="N40" s="38" t="s">
        <v>84</v>
      </c>
      <c r="P40" s="38" t="s">
        <v>84</v>
      </c>
      <c r="R40" s="38" t="s">
        <v>84</v>
      </c>
      <c r="T40" s="38" t="s">
        <v>84</v>
      </c>
      <c r="V40" s="38" t="s">
        <v>84</v>
      </c>
      <c r="X40" s="38" t="s">
        <v>84</v>
      </c>
      <c r="Z40" s="38" t="s">
        <v>84</v>
      </c>
    </row>
    <row r="41" spans="1:29" x14ac:dyDescent="0.2">
      <c r="A41" s="29" t="s">
        <v>30</v>
      </c>
      <c r="B41" s="332"/>
      <c r="C41" s="49" t="s">
        <v>32</v>
      </c>
      <c r="D41" s="49" t="s">
        <v>31</v>
      </c>
      <c r="E41" s="49" t="s">
        <v>33</v>
      </c>
      <c r="F41" s="49" t="s">
        <v>31</v>
      </c>
      <c r="G41" s="49" t="s">
        <v>34</v>
      </c>
      <c r="H41" s="49" t="s">
        <v>31</v>
      </c>
      <c r="I41" s="49" t="s">
        <v>35</v>
      </c>
      <c r="J41" s="49" t="s">
        <v>31</v>
      </c>
      <c r="K41" s="49" t="s">
        <v>36</v>
      </c>
      <c r="L41" s="49" t="s">
        <v>31</v>
      </c>
      <c r="M41" s="49" t="s">
        <v>37</v>
      </c>
      <c r="N41" s="49" t="s">
        <v>31</v>
      </c>
      <c r="O41" s="49" t="s">
        <v>38</v>
      </c>
      <c r="P41" s="49" t="s">
        <v>31</v>
      </c>
      <c r="Q41" s="49" t="s">
        <v>39</v>
      </c>
      <c r="R41" s="49" t="s">
        <v>31</v>
      </c>
      <c r="S41" s="49" t="s">
        <v>40</v>
      </c>
      <c r="T41" s="49" t="s">
        <v>31</v>
      </c>
      <c r="U41" s="49" t="s">
        <v>41</v>
      </c>
      <c r="V41" s="49" t="s">
        <v>31</v>
      </c>
      <c r="W41" s="49" t="s">
        <v>42</v>
      </c>
      <c r="X41" s="49" t="s">
        <v>31</v>
      </c>
      <c r="Y41" s="49" t="s">
        <v>43</v>
      </c>
      <c r="Z41" s="49" t="s">
        <v>31</v>
      </c>
      <c r="AA41" s="26"/>
      <c r="AB41" s="26" t="s">
        <v>124</v>
      </c>
      <c r="AC41" s="26" t="s">
        <v>125</v>
      </c>
    </row>
    <row r="42" spans="1:29" x14ac:dyDescent="0.2">
      <c r="A42" s="350" t="s">
        <v>197</v>
      </c>
      <c r="B42" s="60"/>
      <c r="E42" s="40"/>
      <c r="F42" s="40"/>
      <c r="G42" s="40"/>
    </row>
    <row r="43" spans="1:29" x14ac:dyDescent="0.2">
      <c r="A43" s="9" t="s">
        <v>48</v>
      </c>
      <c r="B43" s="60"/>
      <c r="C43" s="22">
        <v>27418.61</v>
      </c>
      <c r="D43" s="37">
        <f>ROUND(C43+(C43/C$66*C$67),2)</f>
        <v>26980.28</v>
      </c>
      <c r="E43" s="40">
        <v>19452.05</v>
      </c>
      <c r="F43" s="37">
        <f>ROUND(E43+(E43/(E$66-E$64))*((E$67+29756.29)),2)</f>
        <v>19180.61</v>
      </c>
      <c r="G43" s="40">
        <v>13024.27</v>
      </c>
      <c r="H43" s="37">
        <f>ROUND(G43+(G43/(G$66-G$64))*((G$67+33419.72)),2)</f>
        <v>12842.57</v>
      </c>
      <c r="I43" s="40">
        <v>10090.26</v>
      </c>
      <c r="J43" s="37">
        <f t="shared" ref="J43:J62" si="10">ROUND(I43+(I43/(I$66-I$64))*((I$67+36300.2)),2)</f>
        <v>9949.48</v>
      </c>
      <c r="K43" s="37">
        <v>7795.73</v>
      </c>
      <c r="L43" s="37">
        <f>ROUND(K43+(K43/(K$66-K$64))*((K$67+31272.96)),2)</f>
        <v>7686.96</v>
      </c>
      <c r="M43" s="37">
        <v>9192.48</v>
      </c>
      <c r="N43" s="37">
        <f t="shared" ref="N43:N62" si="11">ROUND(M43+(M43/(M$66-M$64))*((M$67+31056)),2)</f>
        <v>9064.23</v>
      </c>
      <c r="O43" s="37">
        <v>6109.11</v>
      </c>
      <c r="P43" s="37">
        <f>ROUND(O43+(O43/(O$66-O$64))*((O$67+24342.37)),2)</f>
        <v>6023.6</v>
      </c>
      <c r="Q43" s="37">
        <v>7668.89</v>
      </c>
      <c r="R43" s="37">
        <f t="shared" ref="R43:R62" si="12">ROUND(Q43+(Q43/(Q$66-Q$64))*((Q$67+30447.94)),2)</f>
        <v>7561.5</v>
      </c>
      <c r="S43" s="37">
        <v>12283.61</v>
      </c>
      <c r="T43" s="37">
        <f>ROUND(S43+(S43/(S$66-S$64))*((S$67+21215.73)),2)</f>
        <v>12111.91</v>
      </c>
      <c r="U43" s="37">
        <v>5416.93</v>
      </c>
      <c r="V43" s="37">
        <f>ROUND(U43+(U43/(U$66-U$64))*((U$67+31953.26)),2)</f>
        <v>5341.1</v>
      </c>
    </row>
    <row r="44" spans="1:29" x14ac:dyDescent="0.2">
      <c r="A44" s="9" t="s">
        <v>22</v>
      </c>
      <c r="B44" s="60"/>
      <c r="C44" s="22">
        <v>637.95000000000005</v>
      </c>
      <c r="D44" s="37">
        <f t="shared" ref="D44:D65" si="13">ROUND(C44+(C44/C$66*C$67),2)</f>
        <v>627.75</v>
      </c>
      <c r="E44" s="40">
        <v>5482.22</v>
      </c>
      <c r="F44" s="37">
        <f t="shared" ref="F44:F65" si="14">ROUND(E44+(E44/(E$66-E$64))*((E$67+29756.29)),2)</f>
        <v>5405.72</v>
      </c>
      <c r="G44" s="40">
        <v>0</v>
      </c>
      <c r="H44" s="37">
        <f t="shared" ref="H44:H65" si="15">ROUND(G44+(G44/(G$66-G$64))*((G$67+33419.72)),2)</f>
        <v>0</v>
      </c>
      <c r="I44" s="40">
        <v>0</v>
      </c>
      <c r="J44" s="37">
        <f t="shared" si="10"/>
        <v>0</v>
      </c>
      <c r="K44" s="37">
        <v>0</v>
      </c>
      <c r="L44" s="37">
        <f t="shared" ref="L44:L65" si="16">ROUND(K44+(K44/(K$66-K$64))*((K$67+31272.96)),2)</f>
        <v>0</v>
      </c>
      <c r="M44" s="37">
        <v>4324.8900000000003</v>
      </c>
      <c r="N44" s="37">
        <f t="shared" si="11"/>
        <v>4264.55</v>
      </c>
      <c r="O44" s="37">
        <v>0</v>
      </c>
      <c r="P44" s="37">
        <f t="shared" ref="P44:R65" si="17">ROUND(O44+(O44/(O$66-O$64))*((O$67+24342.37)),2)</f>
        <v>0</v>
      </c>
      <c r="Q44" s="37">
        <v>2527.36</v>
      </c>
      <c r="R44" s="37">
        <f t="shared" si="12"/>
        <v>2491.9699999999998</v>
      </c>
      <c r="S44" s="37">
        <v>0</v>
      </c>
      <c r="T44" s="37">
        <f t="shared" ref="T44:T65" si="18">ROUND(S44+(S44/(S$66-S$64))*((S$67+21215.73)),2)</f>
        <v>0</v>
      </c>
      <c r="U44" s="37">
        <v>3907.02</v>
      </c>
      <c r="V44" s="37">
        <f t="shared" ref="V44:V65" si="19">ROUND(U44+(U44/(U$66-U$64))*((U$67+31953.26)),2)</f>
        <v>3852.32</v>
      </c>
    </row>
    <row r="45" spans="1:29" x14ac:dyDescent="0.2">
      <c r="A45" s="9" t="s">
        <v>49</v>
      </c>
      <c r="B45" s="60"/>
      <c r="C45" s="22">
        <v>186162.57</v>
      </c>
      <c r="D45" s="37">
        <f t="shared" si="13"/>
        <v>183186.44</v>
      </c>
      <c r="E45" s="40">
        <v>197789.37</v>
      </c>
      <c r="F45" s="37">
        <f t="shared" si="14"/>
        <v>195029.31</v>
      </c>
      <c r="G45" s="40">
        <v>217829.98</v>
      </c>
      <c r="H45" s="37">
        <f t="shared" si="15"/>
        <v>214791.03</v>
      </c>
      <c r="I45" s="40">
        <v>221532.02</v>
      </c>
      <c r="J45" s="37">
        <f t="shared" si="10"/>
        <v>218441.18</v>
      </c>
      <c r="K45" s="37">
        <v>209778.67</v>
      </c>
      <c r="L45" s="37">
        <f t="shared" si="16"/>
        <v>206851.86</v>
      </c>
      <c r="M45" s="37">
        <v>191304.29</v>
      </c>
      <c r="N45" s="37">
        <f t="shared" si="11"/>
        <v>188635.33</v>
      </c>
      <c r="O45" s="37">
        <v>222294.79</v>
      </c>
      <c r="P45" s="37">
        <f t="shared" si="17"/>
        <v>219183.26</v>
      </c>
      <c r="Q45" s="37">
        <v>-228876.11</v>
      </c>
      <c r="R45" s="37">
        <f t="shared" si="12"/>
        <v>-225671.09</v>
      </c>
      <c r="S45" s="37">
        <v>790054.55</v>
      </c>
      <c r="T45" s="37">
        <f t="shared" si="18"/>
        <v>779011.17</v>
      </c>
      <c r="U45" s="37">
        <v>258614.43</v>
      </c>
      <c r="V45" s="37">
        <f t="shared" si="19"/>
        <v>254993.98</v>
      </c>
    </row>
    <row r="46" spans="1:29" x14ac:dyDescent="0.2">
      <c r="A46" s="9" t="s">
        <v>23</v>
      </c>
      <c r="B46" s="60"/>
      <c r="C46" s="22">
        <v>560266.26</v>
      </c>
      <c r="D46" s="37">
        <f t="shared" si="13"/>
        <v>551309.44999999995</v>
      </c>
      <c r="E46" s="40">
        <v>801320.76</v>
      </c>
      <c r="F46" s="37">
        <f t="shared" si="14"/>
        <v>790138.69</v>
      </c>
      <c r="G46" s="40">
        <v>721774.82</v>
      </c>
      <c r="H46" s="37">
        <f t="shared" si="15"/>
        <v>711705.33</v>
      </c>
      <c r="I46" s="40">
        <v>613931</v>
      </c>
      <c r="J46" s="37">
        <f t="shared" si="10"/>
        <v>605365.36</v>
      </c>
      <c r="K46" s="37">
        <v>874583.84</v>
      </c>
      <c r="L46" s="37">
        <f t="shared" si="16"/>
        <v>862381.72</v>
      </c>
      <c r="M46" s="37">
        <v>784146.29</v>
      </c>
      <c r="N46" s="37">
        <f t="shared" si="11"/>
        <v>773206.35</v>
      </c>
      <c r="O46" s="37">
        <v>683251.35</v>
      </c>
      <c r="P46" s="37">
        <f t="shared" si="17"/>
        <v>673687.67</v>
      </c>
      <c r="Q46" s="37">
        <v>821505.63</v>
      </c>
      <c r="R46" s="37">
        <f t="shared" si="12"/>
        <v>810001.85</v>
      </c>
      <c r="S46" s="37">
        <v>631102.32999999996</v>
      </c>
      <c r="T46" s="37">
        <f t="shared" si="18"/>
        <v>622280.78</v>
      </c>
      <c r="U46" s="37">
        <v>654566.93999999994</v>
      </c>
      <c r="V46" s="37">
        <f t="shared" si="19"/>
        <v>645403.38</v>
      </c>
    </row>
    <row r="47" spans="1:29" x14ac:dyDescent="0.2">
      <c r="A47" s="9" t="s">
        <v>24</v>
      </c>
      <c r="B47" s="60"/>
      <c r="C47" s="22">
        <v>138153.79</v>
      </c>
      <c r="D47" s="37">
        <f t="shared" si="13"/>
        <v>135945.17000000001</v>
      </c>
      <c r="E47" s="40">
        <v>128513.56</v>
      </c>
      <c r="F47" s="37">
        <f t="shared" si="14"/>
        <v>126720.21</v>
      </c>
      <c r="G47" s="40">
        <v>157184.9</v>
      </c>
      <c r="H47" s="37">
        <f t="shared" si="15"/>
        <v>154992.01</v>
      </c>
      <c r="I47" s="40">
        <v>172684.66</v>
      </c>
      <c r="J47" s="37">
        <f t="shared" si="10"/>
        <v>170275.34</v>
      </c>
      <c r="K47" s="37">
        <v>149825.76999999999</v>
      </c>
      <c r="L47" s="37">
        <f t="shared" si="16"/>
        <v>147735.41</v>
      </c>
      <c r="M47" s="37">
        <v>149502.41</v>
      </c>
      <c r="N47" s="37">
        <f t="shared" si="11"/>
        <v>147416.64000000001</v>
      </c>
      <c r="O47" s="37">
        <v>113500.53</v>
      </c>
      <c r="P47" s="37">
        <f t="shared" si="17"/>
        <v>111911.83</v>
      </c>
      <c r="Q47" s="37">
        <v>161038.41</v>
      </c>
      <c r="R47" s="37">
        <f t="shared" si="12"/>
        <v>158783.34</v>
      </c>
      <c r="S47" s="37">
        <v>110783.13</v>
      </c>
      <c r="T47" s="37">
        <f t="shared" si="18"/>
        <v>109234.6</v>
      </c>
      <c r="U47" s="37">
        <v>113020.54</v>
      </c>
      <c r="V47" s="37">
        <f t="shared" si="19"/>
        <v>111438.32</v>
      </c>
    </row>
    <row r="48" spans="1:29" x14ac:dyDescent="0.2">
      <c r="A48" s="9" t="s">
        <v>25</v>
      </c>
      <c r="B48" s="60"/>
      <c r="C48" s="22">
        <f>16329.16+215180.56</f>
        <v>231509.72</v>
      </c>
      <c r="D48" s="37">
        <f t="shared" si="13"/>
        <v>227808.64000000001</v>
      </c>
      <c r="E48" s="40">
        <f>12284.88+192414.12</f>
        <v>204699</v>
      </c>
      <c r="F48" s="37">
        <f t="shared" si="14"/>
        <v>201842.52</v>
      </c>
      <c r="G48" s="40">
        <f>6633.82+115678.84</f>
        <v>122312.66</v>
      </c>
      <c r="H48" s="37">
        <f t="shared" si="15"/>
        <v>120606.27</v>
      </c>
      <c r="I48" s="40">
        <f>7469.82+148204.67</f>
        <v>155674.49000000002</v>
      </c>
      <c r="J48" s="37">
        <f t="shared" si="10"/>
        <v>153502.5</v>
      </c>
      <c r="K48" s="37">
        <f>7021.36+143365.08</f>
        <v>150386.43999999997</v>
      </c>
      <c r="L48" s="37">
        <f t="shared" si="16"/>
        <v>148288.26</v>
      </c>
      <c r="M48" s="37">
        <v>142310.32</v>
      </c>
      <c r="N48" s="37">
        <f t="shared" si="11"/>
        <v>140324.89000000001</v>
      </c>
      <c r="O48" s="37">
        <f>2614.07+113337.83</f>
        <v>115951.90000000001</v>
      </c>
      <c r="P48" s="37">
        <f t="shared" si="17"/>
        <v>114328.89</v>
      </c>
      <c r="Q48" s="37">
        <f>3041.68+161344.21</f>
        <v>164385.88999999998</v>
      </c>
      <c r="R48" s="37">
        <f t="shared" si="12"/>
        <v>162083.95000000001</v>
      </c>
      <c r="S48" s="37">
        <f>1638.89+84709.73</f>
        <v>86348.62</v>
      </c>
      <c r="T48" s="37">
        <f t="shared" si="18"/>
        <v>85141.64</v>
      </c>
      <c r="U48" s="37">
        <f>2186.72+79325.98</f>
        <v>81512.7</v>
      </c>
      <c r="V48" s="37">
        <f t="shared" si="19"/>
        <v>80371.570000000007</v>
      </c>
    </row>
    <row r="49" spans="1:22" x14ac:dyDescent="0.2">
      <c r="A49" s="9" t="s">
        <v>26</v>
      </c>
      <c r="B49" s="60"/>
      <c r="C49" s="22">
        <v>2313501</v>
      </c>
      <c r="D49" s="37">
        <f t="shared" si="13"/>
        <v>2276515.7400000002</v>
      </c>
      <c r="E49" s="40">
        <v>2548029.12</v>
      </c>
      <c r="F49" s="37">
        <f t="shared" si="14"/>
        <v>2512472.5099999998</v>
      </c>
      <c r="G49" s="40">
        <v>2606678.75</v>
      </c>
      <c r="H49" s="37">
        <f t="shared" si="15"/>
        <v>2570312.94</v>
      </c>
      <c r="I49" s="40">
        <v>2453211.6800000002</v>
      </c>
      <c r="J49" s="37">
        <f t="shared" si="10"/>
        <v>2418984.1800000002</v>
      </c>
      <c r="K49" s="37">
        <v>2350063.61</v>
      </c>
      <c r="L49" s="37">
        <f t="shared" si="16"/>
        <v>2317275.73</v>
      </c>
      <c r="M49" s="37">
        <v>2252393.4500000002</v>
      </c>
      <c r="N49" s="37">
        <f t="shared" si="11"/>
        <v>2220969.4</v>
      </c>
      <c r="O49" s="37">
        <v>2285360.91</v>
      </c>
      <c r="P49" s="37">
        <f t="shared" si="17"/>
        <v>2253372.02</v>
      </c>
      <c r="Q49" s="37">
        <v>3035458.82</v>
      </c>
      <c r="R49" s="37">
        <f t="shared" si="12"/>
        <v>2992952.41</v>
      </c>
      <c r="S49" s="37">
        <v>1964144.43</v>
      </c>
      <c r="T49" s="37">
        <f t="shared" si="18"/>
        <v>1936689.62</v>
      </c>
      <c r="U49" s="37">
        <v>2074213.51</v>
      </c>
      <c r="V49" s="37">
        <f t="shared" si="19"/>
        <v>2045175.7</v>
      </c>
    </row>
    <row r="50" spans="1:22" x14ac:dyDescent="0.2">
      <c r="A50" s="9" t="s">
        <v>50</v>
      </c>
      <c r="B50" s="60"/>
      <c r="C50" s="22">
        <v>16553.75</v>
      </c>
      <c r="D50" s="37">
        <f t="shared" si="13"/>
        <v>16289.11</v>
      </c>
      <c r="E50" s="40">
        <v>18662.18</v>
      </c>
      <c r="F50" s="37">
        <f t="shared" si="14"/>
        <v>18401.759999999998</v>
      </c>
      <c r="G50" s="40">
        <v>20937.759999999998</v>
      </c>
      <c r="H50" s="37">
        <f t="shared" si="15"/>
        <v>20645.66</v>
      </c>
      <c r="I50" s="40">
        <v>18936.02</v>
      </c>
      <c r="J50" s="37">
        <f t="shared" si="10"/>
        <v>18671.82</v>
      </c>
      <c r="K50" s="37">
        <v>24587.86</v>
      </c>
      <c r="L50" s="37">
        <f t="shared" si="16"/>
        <v>24244.81</v>
      </c>
      <c r="M50" s="37">
        <v>25158.83</v>
      </c>
      <c r="N50" s="37">
        <f t="shared" si="11"/>
        <v>24807.83</v>
      </c>
      <c r="O50" s="37">
        <v>22570.080000000002</v>
      </c>
      <c r="P50" s="37">
        <f t="shared" si="17"/>
        <v>22254.16</v>
      </c>
      <c r="Q50" s="37">
        <v>22620.65</v>
      </c>
      <c r="R50" s="37">
        <f t="shared" si="12"/>
        <v>22303.89</v>
      </c>
      <c r="S50" s="37">
        <v>27827.37</v>
      </c>
      <c r="T50" s="37">
        <f t="shared" si="18"/>
        <v>27438.400000000001</v>
      </c>
      <c r="U50" s="37">
        <v>17514.849999999999</v>
      </c>
      <c r="V50" s="37">
        <f t="shared" si="19"/>
        <v>17269.650000000001</v>
      </c>
    </row>
    <row r="51" spans="1:22" x14ac:dyDescent="0.2">
      <c r="A51" s="9" t="s">
        <v>55</v>
      </c>
      <c r="B51" s="60"/>
      <c r="C51" s="22">
        <v>319564.68</v>
      </c>
      <c r="D51" s="37">
        <f t="shared" si="13"/>
        <v>314455.89</v>
      </c>
      <c r="E51" s="40">
        <v>321378.53999999998</v>
      </c>
      <c r="F51" s="37">
        <f t="shared" si="14"/>
        <v>316893.84999999998</v>
      </c>
      <c r="G51" s="40">
        <v>328270.62</v>
      </c>
      <c r="H51" s="37">
        <f t="shared" si="15"/>
        <v>323690.90999999997</v>
      </c>
      <c r="I51" s="40">
        <v>308173.81</v>
      </c>
      <c r="J51" s="37">
        <f t="shared" si="10"/>
        <v>303874.13</v>
      </c>
      <c r="K51" s="37">
        <v>355407.99</v>
      </c>
      <c r="L51" s="37">
        <f t="shared" si="16"/>
        <v>350449.37</v>
      </c>
      <c r="M51" s="37">
        <v>312986.94</v>
      </c>
      <c r="N51" s="37">
        <f t="shared" si="11"/>
        <v>308620.33</v>
      </c>
      <c r="O51" s="37">
        <v>317747.64</v>
      </c>
      <c r="P51" s="37">
        <f t="shared" si="17"/>
        <v>313300.03000000003</v>
      </c>
      <c r="Q51" s="37">
        <v>327824.57</v>
      </c>
      <c r="R51" s="37">
        <f t="shared" si="12"/>
        <v>323233.95</v>
      </c>
      <c r="S51" s="37">
        <v>316968.96999999997</v>
      </c>
      <c r="T51" s="37">
        <f t="shared" si="18"/>
        <v>312538.38</v>
      </c>
      <c r="U51" s="37">
        <v>300384.26</v>
      </c>
      <c r="V51" s="37">
        <f t="shared" si="19"/>
        <v>296179.05</v>
      </c>
    </row>
    <row r="52" spans="1:22" x14ac:dyDescent="0.2">
      <c r="A52" s="9" t="s">
        <v>51</v>
      </c>
      <c r="B52" s="60"/>
      <c r="C52" s="22">
        <v>87082.49</v>
      </c>
      <c r="D52" s="37">
        <f t="shared" si="13"/>
        <v>85690.33</v>
      </c>
      <c r="E52" s="40">
        <v>106709.77</v>
      </c>
      <c r="F52" s="37">
        <f t="shared" si="14"/>
        <v>105220.68</v>
      </c>
      <c r="G52" s="40">
        <v>121895.76</v>
      </c>
      <c r="H52" s="37">
        <f t="shared" si="15"/>
        <v>120195.19</v>
      </c>
      <c r="I52" s="40">
        <v>91516.98</v>
      </c>
      <c r="J52" s="37">
        <f t="shared" si="10"/>
        <v>90240.12</v>
      </c>
      <c r="K52" s="37">
        <v>86268.79</v>
      </c>
      <c r="L52" s="37">
        <f t="shared" si="16"/>
        <v>85065.18</v>
      </c>
      <c r="M52" s="37">
        <v>133438.76999999999</v>
      </c>
      <c r="N52" s="37">
        <f t="shared" si="11"/>
        <v>131577.10999999999</v>
      </c>
      <c r="O52" s="37">
        <v>81897.119999999995</v>
      </c>
      <c r="P52" s="37">
        <f t="shared" si="17"/>
        <v>80750.78</v>
      </c>
      <c r="Q52" s="37">
        <v>203442.34</v>
      </c>
      <c r="R52" s="37">
        <f t="shared" si="12"/>
        <v>200593.48</v>
      </c>
      <c r="S52" s="37">
        <v>107372.26</v>
      </c>
      <c r="T52" s="37">
        <f t="shared" si="18"/>
        <v>105871.41</v>
      </c>
      <c r="U52" s="37">
        <v>101951.29</v>
      </c>
      <c r="V52" s="37">
        <f t="shared" si="19"/>
        <v>100524.03</v>
      </c>
    </row>
    <row r="53" spans="1:22" x14ac:dyDescent="0.2">
      <c r="A53" s="9" t="s">
        <v>52</v>
      </c>
      <c r="B53" s="60"/>
      <c r="C53" s="22">
        <v>194648.57</v>
      </c>
      <c r="D53" s="37">
        <f t="shared" si="13"/>
        <v>191536.78</v>
      </c>
      <c r="E53" s="40">
        <v>345038.56</v>
      </c>
      <c r="F53" s="37">
        <f t="shared" si="14"/>
        <v>340223.7</v>
      </c>
      <c r="G53" s="40">
        <v>267962.69</v>
      </c>
      <c r="H53" s="37">
        <f t="shared" si="15"/>
        <v>264224.34000000003</v>
      </c>
      <c r="I53" s="40">
        <v>201966.5</v>
      </c>
      <c r="J53" s="37">
        <f t="shared" si="10"/>
        <v>199148.64</v>
      </c>
      <c r="K53" s="37">
        <v>262318.23</v>
      </c>
      <c r="L53" s="37">
        <f t="shared" si="16"/>
        <v>258658.39</v>
      </c>
      <c r="M53" s="37">
        <v>250671.64</v>
      </c>
      <c r="N53" s="37">
        <f t="shared" si="11"/>
        <v>247174.42</v>
      </c>
      <c r="O53" s="37">
        <v>172584.72</v>
      </c>
      <c r="P53" s="37">
        <f t="shared" si="17"/>
        <v>170169</v>
      </c>
      <c r="Q53" s="37">
        <v>225656.84</v>
      </c>
      <c r="R53" s="37">
        <f t="shared" si="12"/>
        <v>222496.9</v>
      </c>
      <c r="S53" s="37">
        <v>180010.54</v>
      </c>
      <c r="T53" s="37">
        <f t="shared" si="18"/>
        <v>177494.35</v>
      </c>
      <c r="U53" s="37">
        <v>147536.17000000001</v>
      </c>
      <c r="V53" s="37">
        <f t="shared" si="19"/>
        <v>145470.75</v>
      </c>
    </row>
    <row r="54" spans="1:22" x14ac:dyDescent="0.2">
      <c r="A54" s="9" t="s">
        <v>56</v>
      </c>
      <c r="B54" s="60"/>
      <c r="C54" s="22">
        <v>708507.51</v>
      </c>
      <c r="D54" s="37">
        <f t="shared" si="13"/>
        <v>697180.81</v>
      </c>
      <c r="E54" s="40">
        <v>814117.72</v>
      </c>
      <c r="F54" s="37">
        <f t="shared" si="14"/>
        <v>802757.07</v>
      </c>
      <c r="G54" s="40">
        <v>722975.38</v>
      </c>
      <c r="H54" s="37">
        <f t="shared" si="15"/>
        <v>712889.14</v>
      </c>
      <c r="I54" s="40">
        <v>613119.34</v>
      </c>
      <c r="J54" s="37">
        <f t="shared" si="10"/>
        <v>604565.03</v>
      </c>
      <c r="K54" s="37">
        <v>663011</v>
      </c>
      <c r="L54" s="37">
        <f t="shared" si="16"/>
        <v>653760.73</v>
      </c>
      <c r="M54" s="37">
        <v>719144.67</v>
      </c>
      <c r="N54" s="37">
        <f t="shared" si="11"/>
        <v>709111.59</v>
      </c>
      <c r="O54" s="37">
        <v>588782.68999999994</v>
      </c>
      <c r="P54" s="37">
        <f t="shared" si="17"/>
        <v>580541.31999999995</v>
      </c>
      <c r="Q54" s="37">
        <v>628545.52</v>
      </c>
      <c r="R54" s="37">
        <f t="shared" si="12"/>
        <v>619743.81000000006</v>
      </c>
      <c r="S54" s="37">
        <v>634119</v>
      </c>
      <c r="T54" s="37">
        <f t="shared" si="18"/>
        <v>625255.29</v>
      </c>
      <c r="U54" s="37">
        <v>807775.71</v>
      </c>
      <c r="V54" s="37">
        <f t="shared" si="19"/>
        <v>796467.31</v>
      </c>
    </row>
    <row r="55" spans="1:22" x14ac:dyDescent="0.2">
      <c r="A55" s="9" t="s">
        <v>53</v>
      </c>
      <c r="B55" s="60"/>
      <c r="C55" s="22">
        <v>12976.05</v>
      </c>
      <c r="D55" s="37">
        <f t="shared" si="13"/>
        <v>12768.61</v>
      </c>
      <c r="E55" s="40">
        <v>11369.71</v>
      </c>
      <c r="F55" s="37">
        <f t="shared" si="14"/>
        <v>11211.05</v>
      </c>
      <c r="G55" s="40">
        <v>14333.62</v>
      </c>
      <c r="H55" s="37">
        <f t="shared" si="15"/>
        <v>14133.65</v>
      </c>
      <c r="I55" s="40">
        <v>7613.97</v>
      </c>
      <c r="J55" s="37">
        <f t="shared" si="10"/>
        <v>7507.74</v>
      </c>
      <c r="K55" s="37">
        <v>11241.7</v>
      </c>
      <c r="L55" s="37">
        <f t="shared" si="16"/>
        <v>11084.86</v>
      </c>
      <c r="M55" s="37">
        <v>12058.41</v>
      </c>
      <c r="N55" s="37">
        <f t="shared" si="11"/>
        <v>11890.18</v>
      </c>
      <c r="O55" s="37">
        <v>10187.379999999999</v>
      </c>
      <c r="P55" s="37">
        <f t="shared" si="17"/>
        <v>10044.780000000001</v>
      </c>
      <c r="Q55" s="37">
        <v>8076.48</v>
      </c>
      <c r="R55" s="37">
        <f t="shared" si="12"/>
        <v>7963.38</v>
      </c>
      <c r="S55" s="37">
        <v>14742.57</v>
      </c>
      <c r="T55" s="37">
        <f t="shared" si="18"/>
        <v>14536.5</v>
      </c>
      <c r="U55" s="37">
        <v>9601.4500000000007</v>
      </c>
      <c r="V55" s="37">
        <f t="shared" si="19"/>
        <v>9467.0400000000009</v>
      </c>
    </row>
    <row r="56" spans="1:22" x14ac:dyDescent="0.2">
      <c r="A56" s="9" t="s">
        <v>57</v>
      </c>
      <c r="B56" s="60"/>
      <c r="C56" s="22">
        <v>68724.52</v>
      </c>
      <c r="D56" s="37">
        <f t="shared" si="13"/>
        <v>67625.84</v>
      </c>
      <c r="E56" s="40">
        <v>110416.66</v>
      </c>
      <c r="F56" s="37">
        <f t="shared" si="14"/>
        <v>108875.84</v>
      </c>
      <c r="G56" s="40">
        <v>74739.710000000006</v>
      </c>
      <c r="H56" s="37">
        <f t="shared" si="15"/>
        <v>73697.02</v>
      </c>
      <c r="I56" s="40">
        <v>84785.56</v>
      </c>
      <c r="J56" s="37">
        <f t="shared" si="10"/>
        <v>83602.62</v>
      </c>
      <c r="K56" s="37">
        <v>88957.28</v>
      </c>
      <c r="L56" s="37">
        <f t="shared" si="16"/>
        <v>87716.160000000003</v>
      </c>
      <c r="M56" s="37">
        <v>81350.559999999998</v>
      </c>
      <c r="N56" s="37">
        <f t="shared" si="11"/>
        <v>80215.61</v>
      </c>
      <c r="O56" s="37">
        <v>70427.11</v>
      </c>
      <c r="P56" s="37">
        <f t="shared" si="17"/>
        <v>69441.320000000007</v>
      </c>
      <c r="Q56" s="37">
        <v>87863.01</v>
      </c>
      <c r="R56" s="37">
        <f t="shared" si="12"/>
        <v>86632.639999999999</v>
      </c>
      <c r="S56" s="37">
        <v>64692.9</v>
      </c>
      <c r="T56" s="37">
        <f t="shared" si="18"/>
        <v>63788.62</v>
      </c>
      <c r="U56" s="37">
        <v>57084.49</v>
      </c>
      <c r="V56" s="37">
        <f t="shared" si="19"/>
        <v>56285.34</v>
      </c>
    </row>
    <row r="57" spans="1:22" x14ac:dyDescent="0.2">
      <c r="A57" s="9" t="s">
        <v>58</v>
      </c>
      <c r="B57" s="60"/>
      <c r="C57" s="22">
        <v>52244.31</v>
      </c>
      <c r="D57" s="37">
        <f t="shared" si="13"/>
        <v>51409.1</v>
      </c>
      <c r="E57" s="40">
        <v>22953.39</v>
      </c>
      <c r="F57" s="37">
        <f t="shared" si="14"/>
        <v>22633.09</v>
      </c>
      <c r="G57" s="40">
        <v>59978.87</v>
      </c>
      <c r="H57" s="37">
        <f t="shared" si="15"/>
        <v>59142.1</v>
      </c>
      <c r="I57" s="40">
        <v>7502.23</v>
      </c>
      <c r="J57" s="37">
        <f t="shared" si="10"/>
        <v>7397.56</v>
      </c>
      <c r="K57" s="37">
        <v>102846.01</v>
      </c>
      <c r="L57" s="37">
        <f t="shared" si="16"/>
        <v>101411.11</v>
      </c>
      <c r="M57" s="37">
        <v>96723.25</v>
      </c>
      <c r="N57" s="37">
        <f t="shared" si="11"/>
        <v>95373.82</v>
      </c>
      <c r="O57" s="37">
        <v>97111.37</v>
      </c>
      <c r="P57" s="37">
        <f t="shared" si="17"/>
        <v>95752.07</v>
      </c>
      <c r="Q57" s="37">
        <v>83955.74</v>
      </c>
      <c r="R57" s="37">
        <f t="shared" si="12"/>
        <v>82780.08</v>
      </c>
      <c r="S57" s="37">
        <v>51976.1</v>
      </c>
      <c r="T57" s="37">
        <f t="shared" si="18"/>
        <v>51249.58</v>
      </c>
      <c r="U57" s="37">
        <v>27108.240000000002</v>
      </c>
      <c r="V57" s="37">
        <f t="shared" si="19"/>
        <v>26728.74</v>
      </c>
    </row>
    <row r="58" spans="1:22" x14ac:dyDescent="0.2">
      <c r="A58" s="9" t="s">
        <v>59</v>
      </c>
      <c r="B58" s="60"/>
      <c r="C58" s="22">
        <v>642295.06999999995</v>
      </c>
      <c r="D58" s="37">
        <f t="shared" si="13"/>
        <v>632026.89</v>
      </c>
      <c r="E58" s="40">
        <v>422758.99</v>
      </c>
      <c r="F58" s="37">
        <f t="shared" si="14"/>
        <v>416859.58</v>
      </c>
      <c r="G58" s="40">
        <v>423527.02</v>
      </c>
      <c r="H58" s="37">
        <f t="shared" si="15"/>
        <v>417618.39</v>
      </c>
      <c r="I58" s="40">
        <v>352448.53</v>
      </c>
      <c r="J58" s="37">
        <f t="shared" si="10"/>
        <v>347531.13</v>
      </c>
      <c r="K58" s="37">
        <v>453837.55</v>
      </c>
      <c r="L58" s="37">
        <f t="shared" si="16"/>
        <v>447505.65</v>
      </c>
      <c r="M58" s="37">
        <v>369126.89</v>
      </c>
      <c r="N58" s="37">
        <f t="shared" si="11"/>
        <v>363977.05</v>
      </c>
      <c r="O58" s="37">
        <v>345445.58</v>
      </c>
      <c r="P58" s="37">
        <f t="shared" si="17"/>
        <v>340610.27</v>
      </c>
      <c r="Q58" s="37">
        <v>449016.4</v>
      </c>
      <c r="R58" s="37">
        <f t="shared" si="12"/>
        <v>442728.69</v>
      </c>
      <c r="S58" s="37">
        <v>339253.18</v>
      </c>
      <c r="T58" s="37">
        <f t="shared" si="18"/>
        <v>334511.09999999998</v>
      </c>
      <c r="U58" s="37">
        <v>412774.25</v>
      </c>
      <c r="V58" s="37">
        <f t="shared" si="19"/>
        <v>406995.65</v>
      </c>
    </row>
    <row r="59" spans="1:22" x14ac:dyDescent="0.2">
      <c r="A59" s="9" t="s">
        <v>60</v>
      </c>
      <c r="B59" s="60"/>
      <c r="C59" s="22">
        <v>47331.839999999997</v>
      </c>
      <c r="D59" s="37">
        <f t="shared" si="13"/>
        <v>46575.16</v>
      </c>
      <c r="E59" s="40">
        <v>100733.63</v>
      </c>
      <c r="F59" s="37">
        <f t="shared" si="14"/>
        <v>99327.94</v>
      </c>
      <c r="G59" s="40">
        <v>63343.87</v>
      </c>
      <c r="H59" s="37">
        <f t="shared" si="15"/>
        <v>62460.160000000003</v>
      </c>
      <c r="I59" s="40">
        <v>62302.36</v>
      </c>
      <c r="J59" s="37">
        <f t="shared" si="10"/>
        <v>61433.11</v>
      </c>
      <c r="K59" s="37">
        <v>45886.06</v>
      </c>
      <c r="L59" s="37">
        <f t="shared" si="16"/>
        <v>45245.86</v>
      </c>
      <c r="M59" s="37">
        <v>43115.58</v>
      </c>
      <c r="N59" s="37">
        <f t="shared" si="11"/>
        <v>42514.06</v>
      </c>
      <c r="O59" s="37">
        <v>48414.29</v>
      </c>
      <c r="P59" s="37">
        <f t="shared" si="17"/>
        <v>47736.62</v>
      </c>
      <c r="Q59" s="37">
        <v>80133.53</v>
      </c>
      <c r="R59" s="37">
        <f t="shared" si="12"/>
        <v>79011.399999999994</v>
      </c>
      <c r="S59" s="37">
        <v>55432.58</v>
      </c>
      <c r="T59" s="37">
        <f t="shared" si="18"/>
        <v>54657.74</v>
      </c>
      <c r="U59" s="37">
        <v>40939.49</v>
      </c>
      <c r="V59" s="37">
        <f t="shared" si="19"/>
        <v>40366.36</v>
      </c>
    </row>
    <row r="60" spans="1:22" x14ac:dyDescent="0.2">
      <c r="A60" s="9" t="s">
        <v>61</v>
      </c>
      <c r="B60" s="60"/>
      <c r="C60" s="22">
        <v>1179322.68</v>
      </c>
      <c r="D60" s="37">
        <f t="shared" si="13"/>
        <v>1160469.19</v>
      </c>
      <c r="E60" s="40">
        <v>1220720.45</v>
      </c>
      <c r="F60" s="37">
        <f t="shared" si="14"/>
        <v>1203685.8400000001</v>
      </c>
      <c r="G60" s="40">
        <v>1339211.03</v>
      </c>
      <c r="H60" s="37">
        <f t="shared" si="15"/>
        <v>1320527.68</v>
      </c>
      <c r="I60" s="40">
        <v>1459501.9</v>
      </c>
      <c r="J60" s="37">
        <f t="shared" si="10"/>
        <v>1439138.76</v>
      </c>
      <c r="K60" s="37">
        <v>1223672.6100000001</v>
      </c>
      <c r="L60" s="37">
        <f t="shared" si="16"/>
        <v>1206600.04</v>
      </c>
      <c r="M60" s="37">
        <v>1229190.19</v>
      </c>
      <c r="N60" s="37">
        <f t="shared" si="11"/>
        <v>1212041.26</v>
      </c>
      <c r="O60" s="37">
        <v>917835.31</v>
      </c>
      <c r="P60" s="37">
        <f t="shared" si="17"/>
        <v>904988.09</v>
      </c>
      <c r="Q60" s="37">
        <v>1113313.76</v>
      </c>
      <c r="R60" s="37">
        <f t="shared" si="12"/>
        <v>1097723.7</v>
      </c>
      <c r="S60" s="37">
        <v>825461.51</v>
      </c>
      <c r="T60" s="37">
        <f t="shared" si="18"/>
        <v>813923.21</v>
      </c>
      <c r="U60" s="37">
        <v>870204.9</v>
      </c>
      <c r="V60" s="37">
        <f t="shared" si="19"/>
        <v>858022.53</v>
      </c>
    </row>
    <row r="61" spans="1:22" x14ac:dyDescent="0.2">
      <c r="A61" s="9" t="s">
        <v>65</v>
      </c>
      <c r="B61" s="60"/>
      <c r="C61" s="22">
        <v>775407.63</v>
      </c>
      <c r="D61" s="37">
        <f t="shared" si="13"/>
        <v>763011.42</v>
      </c>
      <c r="E61" s="40">
        <v>882600.45</v>
      </c>
      <c r="F61" s="37">
        <f t="shared" si="14"/>
        <v>870284.16</v>
      </c>
      <c r="G61" s="40">
        <v>1040319.06</v>
      </c>
      <c r="H61" s="37">
        <f t="shared" si="15"/>
        <v>1025805.55</v>
      </c>
      <c r="I61" s="40">
        <v>790716.3</v>
      </c>
      <c r="J61" s="37">
        <f t="shared" si="10"/>
        <v>779684.13</v>
      </c>
      <c r="K61" s="37">
        <v>782449.02</v>
      </c>
      <c r="L61" s="37">
        <f t="shared" si="16"/>
        <v>771532.36</v>
      </c>
      <c r="M61" s="37">
        <v>813308.85</v>
      </c>
      <c r="N61" s="37">
        <f t="shared" si="11"/>
        <v>801962.05</v>
      </c>
      <c r="O61" s="37">
        <v>711140.42</v>
      </c>
      <c r="P61" s="37">
        <f t="shared" si="17"/>
        <v>701186.37</v>
      </c>
      <c r="Q61" s="37">
        <v>1001502.42</v>
      </c>
      <c r="R61" s="37">
        <f t="shared" si="12"/>
        <v>987478.09</v>
      </c>
      <c r="S61" s="37">
        <v>690539.55</v>
      </c>
      <c r="T61" s="37">
        <f t="shared" si="18"/>
        <v>680887.19</v>
      </c>
      <c r="U61" s="37">
        <v>652680.03</v>
      </c>
      <c r="V61" s="37">
        <f t="shared" si="19"/>
        <v>643542.88</v>
      </c>
    </row>
    <row r="62" spans="1:22" x14ac:dyDescent="0.2">
      <c r="A62" s="9" t="s">
        <v>62</v>
      </c>
      <c r="B62" s="60"/>
      <c r="C62" s="22">
        <v>0</v>
      </c>
      <c r="D62" s="37">
        <f t="shared" si="13"/>
        <v>0</v>
      </c>
      <c r="E62" s="40">
        <v>0</v>
      </c>
      <c r="F62" s="37">
        <f t="shared" si="14"/>
        <v>0</v>
      </c>
      <c r="G62" s="40">
        <v>0</v>
      </c>
      <c r="H62" s="37">
        <f t="shared" si="15"/>
        <v>0</v>
      </c>
      <c r="I62" s="40">
        <v>0</v>
      </c>
      <c r="J62" s="37">
        <f t="shared" si="10"/>
        <v>0</v>
      </c>
      <c r="K62" s="37">
        <v>71.05</v>
      </c>
      <c r="L62" s="37">
        <f t="shared" si="16"/>
        <v>70.06</v>
      </c>
      <c r="M62" s="37">
        <v>53.14</v>
      </c>
      <c r="N62" s="37">
        <f t="shared" si="11"/>
        <v>52.4</v>
      </c>
      <c r="O62" s="37">
        <v>0</v>
      </c>
      <c r="P62" s="37">
        <f t="shared" si="17"/>
        <v>0</v>
      </c>
      <c r="Q62" s="37">
        <v>0</v>
      </c>
      <c r="R62" s="37">
        <f t="shared" si="12"/>
        <v>0</v>
      </c>
      <c r="S62" s="37">
        <v>0</v>
      </c>
      <c r="T62" s="37">
        <f t="shared" si="18"/>
        <v>0</v>
      </c>
      <c r="U62" s="37">
        <v>0</v>
      </c>
      <c r="V62" s="37">
        <f t="shared" si="19"/>
        <v>0</v>
      </c>
    </row>
    <row r="63" spans="1:22" x14ac:dyDescent="0.2">
      <c r="A63" s="9" t="s">
        <v>93</v>
      </c>
      <c r="B63" s="60"/>
      <c r="C63" s="22">
        <f>41918.83+8022.7</f>
        <v>49941.53</v>
      </c>
      <c r="D63" s="37">
        <f>ROUND(C63+(C63/C$66*C$67),2)-0.01</f>
        <v>49143.119999999995</v>
      </c>
      <c r="E63" s="40">
        <f>84673.74+5943.33</f>
        <v>90617.07</v>
      </c>
      <c r="F63" s="37">
        <f>ROUND(E63+(E63/(E$66-E$64))*((E$67+29756.29)),2)-0.01</f>
        <v>89352.540000000008</v>
      </c>
      <c r="G63" s="40">
        <f>68445.7+4939.08</f>
        <v>73384.78</v>
      </c>
      <c r="H63" s="37">
        <f>ROUND(G63+(G63/(G$66-G$64))*((G$67+33419.72)),2)+0.01</f>
        <v>72361</v>
      </c>
      <c r="I63" s="40">
        <f>51226.75+4802.37</f>
        <v>56029.120000000003</v>
      </c>
      <c r="J63" s="37">
        <f>ROUND(I63+(I63/(I$66-I$64))*((I$67+36300.2)),2)-0.01</f>
        <v>55247.39</v>
      </c>
      <c r="K63" s="37">
        <f>69268.25+8468.64</f>
        <v>77736.89</v>
      </c>
      <c r="L63" s="37">
        <f t="shared" si="16"/>
        <v>76652.31</v>
      </c>
      <c r="M63" s="37">
        <f>85321.58+7923.08</f>
        <v>93244.66</v>
      </c>
      <c r="N63" s="37">
        <f>ROUND(M63+(M63/(M$66-M$64))*((M$67+31056)),2)-0.01</f>
        <v>91943.760000000009</v>
      </c>
      <c r="O63" s="37">
        <f>50796.97+8055.36</f>
        <v>58852.33</v>
      </c>
      <c r="P63" s="37">
        <f>ROUND(O63+(O63/(O$66-O$64))*((O$67+24342.37)),2)+0.02</f>
        <v>58028.579999999994</v>
      </c>
      <c r="Q63" s="37">
        <f>63229.31+5120.04</f>
        <v>68349.349999999991</v>
      </c>
      <c r="R63" s="37">
        <f>ROUND(Q63+(Q63/(Q$66-Q$64))*((Q$67+30447.94)),2)+9.17</f>
        <v>67401.399999999994</v>
      </c>
      <c r="S63" s="37">
        <f>58414.04+8854.38</f>
        <v>67268.42</v>
      </c>
      <c r="T63" s="37">
        <f>ROUND(S63+(S63/(S$66-S$64))*((S$67+21215.73)),2)+0.02</f>
        <v>66328.160000000003</v>
      </c>
      <c r="U63" s="37">
        <f>55681.58+5392.36</f>
        <v>61073.94</v>
      </c>
      <c r="V63" s="37">
        <f>ROUND(U63+(U63/(U$66-U$64))*((U$67+31953.26)),2)-0.02</f>
        <v>60218.920000000006</v>
      </c>
    </row>
    <row r="64" spans="1:22" x14ac:dyDescent="0.2">
      <c r="A64" s="345" t="s">
        <v>67</v>
      </c>
      <c r="B64" s="346"/>
      <c r="C64" s="347">
        <f>749244.8+193250.01</f>
        <v>942494.81</v>
      </c>
      <c r="D64" s="348">
        <f t="shared" si="13"/>
        <v>927427.42</v>
      </c>
      <c r="E64" s="349">
        <v>915578.6</v>
      </c>
      <c r="F64" s="348">
        <f>+E64-29756.29</f>
        <v>885822.30999999994</v>
      </c>
      <c r="G64" s="349">
        <f>821890.13+206409.26</f>
        <v>1028299.39</v>
      </c>
      <c r="H64" s="348">
        <f>+G64-33419.72</f>
        <v>994879.67</v>
      </c>
      <c r="I64" s="349">
        <f>920493.32+196435.99</f>
        <v>1116929.31</v>
      </c>
      <c r="J64" s="348">
        <f>890577.29+190051.82</f>
        <v>1080629.1100000001</v>
      </c>
      <c r="K64" s="348">
        <v>962244.74</v>
      </c>
      <c r="L64" s="348">
        <v>930971.78</v>
      </c>
      <c r="M64" s="348">
        <f>733791.74+221777.53</f>
        <v>955569.27</v>
      </c>
      <c r="N64" s="348">
        <v>924513.27</v>
      </c>
      <c r="O64" s="348">
        <f>547527.75+201467.85</f>
        <v>748995.6</v>
      </c>
      <c r="P64" s="348">
        <f>+O64-24342.37</f>
        <v>724653.23</v>
      </c>
      <c r="Q64" s="348">
        <v>936859.02</v>
      </c>
      <c r="R64" s="348">
        <f>+Q64-30447.94</f>
        <v>906411.08000000007</v>
      </c>
      <c r="S64" s="348">
        <f>502187.46+150603.84</f>
        <v>652791.30000000005</v>
      </c>
      <c r="T64" s="348">
        <f>+S64-21215.73</f>
        <v>631575.57000000007</v>
      </c>
      <c r="U64" s="348">
        <v>983176.94</v>
      </c>
      <c r="V64" s="348">
        <f>+U64-31953.26</f>
        <v>951223.67999999993</v>
      </c>
    </row>
    <row r="65" spans="1:29" x14ac:dyDescent="0.2">
      <c r="A65" s="9" t="s">
        <v>97</v>
      </c>
      <c r="B65" s="60"/>
      <c r="C65" s="107">
        <v>37401.599999999999</v>
      </c>
      <c r="D65" s="262">
        <f t="shared" si="13"/>
        <v>36803.67</v>
      </c>
      <c r="E65" s="212">
        <v>41348.269999999997</v>
      </c>
      <c r="F65" s="262">
        <f t="shared" si="14"/>
        <v>40771.269999999997</v>
      </c>
      <c r="G65" s="212">
        <v>41386.629999999997</v>
      </c>
      <c r="H65" s="262">
        <f t="shared" si="15"/>
        <v>40809.24</v>
      </c>
      <c r="I65" s="212">
        <v>37911.440000000002</v>
      </c>
      <c r="J65" s="262">
        <f>ROUND(I65+(I65/(I$66-I$64))*((I$67+36300.2)),2)</f>
        <v>37382.5</v>
      </c>
      <c r="K65" s="262">
        <v>39059.67</v>
      </c>
      <c r="L65" s="262">
        <f t="shared" si="16"/>
        <v>38514.71</v>
      </c>
      <c r="M65" s="262">
        <v>38021.440000000002</v>
      </c>
      <c r="N65" s="262">
        <f>ROUND(M65+(M65/(M$66-M$64))*((M$67+31056)),2)</f>
        <v>37490.99</v>
      </c>
      <c r="O65" s="262">
        <v>10389.58</v>
      </c>
      <c r="P65" s="262">
        <f t="shared" si="17"/>
        <v>10244.15</v>
      </c>
      <c r="Q65" s="262">
        <v>12440.42</v>
      </c>
      <c r="R65" s="262">
        <f t="shared" si="17"/>
        <v>12257.04</v>
      </c>
      <c r="S65" s="262">
        <v>10540.57</v>
      </c>
      <c r="T65" s="262">
        <f t="shared" si="18"/>
        <v>10393.23</v>
      </c>
      <c r="U65" s="262">
        <v>10063.1</v>
      </c>
      <c r="V65" s="262">
        <f t="shared" si="19"/>
        <v>9922.2199999999993</v>
      </c>
    </row>
    <row r="66" spans="1:29" x14ac:dyDescent="0.2">
      <c r="A66" s="263" t="s">
        <v>44</v>
      </c>
      <c r="B66" s="60"/>
      <c r="C66" s="22">
        <f t="shared" ref="C66:J66" si="20">SUM(C43:C65)</f>
        <v>8592146.9399999995</v>
      </c>
      <c r="D66" s="37">
        <f t="shared" si="20"/>
        <v>8454786.8100000005</v>
      </c>
      <c r="E66" s="22">
        <f t="shared" si="20"/>
        <v>9330290.0699999984</v>
      </c>
      <c r="F66" s="37">
        <f t="shared" si="20"/>
        <v>9183110.25</v>
      </c>
      <c r="G66" s="22">
        <f t="shared" si="20"/>
        <v>9459371.5700000022</v>
      </c>
      <c r="H66" s="37">
        <f t="shared" si="20"/>
        <v>9308329.8499999996</v>
      </c>
      <c r="I66" s="115">
        <f>SUM(I43:I65)</f>
        <v>8836577.4800000004</v>
      </c>
      <c r="J66" s="37">
        <f t="shared" si="20"/>
        <v>8692571.8300000001</v>
      </c>
      <c r="K66" s="36">
        <f t="shared" ref="K66:Q66" si="21">SUM(K43:K65)</f>
        <v>8922030.5099999998</v>
      </c>
      <c r="L66" s="37">
        <f t="shared" si="21"/>
        <v>8779703.3200000022</v>
      </c>
      <c r="M66" s="37">
        <f t="shared" si="21"/>
        <v>8706337.2199999988</v>
      </c>
      <c r="N66" s="37">
        <f t="shared" si="21"/>
        <v>8567147.1199999992</v>
      </c>
      <c r="O66" s="37">
        <f t="shared" si="21"/>
        <v>7628849.8100000005</v>
      </c>
      <c r="P66" s="37">
        <f t="shared" si="21"/>
        <v>7508208.040000001</v>
      </c>
      <c r="Q66" s="37">
        <f t="shared" si="21"/>
        <v>9213308.9399999995</v>
      </c>
      <c r="R66" s="37">
        <f t="shared" ref="R66:S66" si="22">SUM(R43:R65)</f>
        <v>9066963.4600000009</v>
      </c>
      <c r="S66" s="37">
        <f t="shared" si="22"/>
        <v>7633713.4899999993</v>
      </c>
      <c r="T66" s="37">
        <f t="shared" ref="T66" si="23">SUM(T43:T65)</f>
        <v>7514918.4500000011</v>
      </c>
      <c r="U66" s="37">
        <f>SUM(U43:U65)</f>
        <v>7691121.1800000016</v>
      </c>
      <c r="V66" s="37">
        <f t="shared" ref="V66" si="24">SUM(V43:V65)</f>
        <v>7565260.5200000005</v>
      </c>
    </row>
    <row r="67" spans="1:29" x14ac:dyDescent="0.2">
      <c r="A67" s="264" t="s">
        <v>45</v>
      </c>
      <c r="B67" s="60"/>
      <c r="C67" s="35">
        <v>-137360.13</v>
      </c>
      <c r="E67" s="212">
        <v>-147179.82</v>
      </c>
      <c r="F67" s="40"/>
      <c r="G67" s="73">
        <v>-151041.72</v>
      </c>
      <c r="I67" s="76">
        <v>-144005.65</v>
      </c>
      <c r="K67" s="37">
        <v>-142327.19</v>
      </c>
      <c r="M67" s="37">
        <v>-139190.1</v>
      </c>
      <c r="O67" s="37">
        <v>-120641.77</v>
      </c>
      <c r="Q67" s="37">
        <v>-146345.48000000001</v>
      </c>
      <c r="S67" s="37">
        <v>-118795.04</v>
      </c>
      <c r="U67" s="37">
        <v>-125860.66</v>
      </c>
    </row>
    <row r="68" spans="1:29" x14ac:dyDescent="0.2">
      <c r="A68" s="263" t="s">
        <v>27</v>
      </c>
      <c r="B68" s="60"/>
      <c r="C68" s="22">
        <f>SUM(C66:C67)</f>
        <v>8454786.8099999987</v>
      </c>
      <c r="E68" s="40">
        <f>+E66+E67</f>
        <v>9183110.2499999981</v>
      </c>
      <c r="F68" s="40"/>
      <c r="G68" s="40">
        <f>+G66+G67</f>
        <v>9308329.8500000015</v>
      </c>
      <c r="I68" s="76">
        <f>+I66+I67</f>
        <v>8692571.8300000001</v>
      </c>
      <c r="K68" s="37">
        <f>+K66+K67</f>
        <v>8779703.3200000003</v>
      </c>
      <c r="M68" s="37">
        <f>+M66+M67</f>
        <v>8567147.1199999992</v>
      </c>
      <c r="O68" s="37">
        <f>+O66+O67</f>
        <v>7508208.040000001</v>
      </c>
      <c r="Q68" s="37">
        <f>+Q66+Q67</f>
        <v>9066963.459999999</v>
      </c>
      <c r="S68" s="37">
        <f>+S66+S67</f>
        <v>7514918.4499999993</v>
      </c>
      <c r="U68" s="37">
        <f>SUM(U66:U67)</f>
        <v>7565260.5200000014</v>
      </c>
    </row>
    <row r="69" spans="1:29" x14ac:dyDescent="0.2">
      <c r="A69" s="266" t="s">
        <v>130</v>
      </c>
      <c r="B69" s="60"/>
      <c r="C69" s="107">
        <v>8454786.8100000005</v>
      </c>
      <c r="E69" s="212">
        <v>9183110.25</v>
      </c>
      <c r="F69" s="40"/>
      <c r="G69" s="212">
        <v>9308329.8499999996</v>
      </c>
      <c r="I69" s="212">
        <v>8692571.8300000001</v>
      </c>
      <c r="J69" s="41"/>
      <c r="K69" s="262">
        <v>8779703.3200000003</v>
      </c>
      <c r="M69" s="262">
        <v>8567147.1199999992</v>
      </c>
      <c r="O69" s="262">
        <v>7508208.04</v>
      </c>
      <c r="Q69" s="262">
        <v>9066963.4600000009</v>
      </c>
      <c r="S69" s="262">
        <v>7514918.4500000002</v>
      </c>
      <c r="U69" s="262">
        <v>7565260.5199999996</v>
      </c>
    </row>
    <row r="70" spans="1:29" x14ac:dyDescent="0.2">
      <c r="A70" s="266" t="s">
        <v>21</v>
      </c>
      <c r="B70" s="60"/>
      <c r="C70" s="22">
        <f>+C68-C69</f>
        <v>0</v>
      </c>
      <c r="E70" s="22">
        <f>+E68-E69</f>
        <v>0</v>
      </c>
      <c r="F70" s="40"/>
      <c r="G70" s="40">
        <f>+G68-G69</f>
        <v>0</v>
      </c>
      <c r="I70" s="115">
        <f>+I68-I69</f>
        <v>0</v>
      </c>
      <c r="J70" s="41"/>
      <c r="K70" s="41">
        <f>+K68-K69</f>
        <v>0</v>
      </c>
      <c r="M70" s="41">
        <f>+M68-M69</f>
        <v>0</v>
      </c>
      <c r="O70" s="41">
        <f>+O68-O69</f>
        <v>0</v>
      </c>
      <c r="Q70" s="41">
        <f>+Q68-Q69</f>
        <v>0</v>
      </c>
      <c r="S70" s="41">
        <f>+S68-S69</f>
        <v>0</v>
      </c>
      <c r="U70" s="41">
        <f>+U68-U69</f>
        <v>0</v>
      </c>
    </row>
    <row r="71" spans="1:29" x14ac:dyDescent="0.2">
      <c r="A71" s="9" t="s">
        <v>92</v>
      </c>
      <c r="B71" s="60"/>
      <c r="E71" s="40"/>
      <c r="F71" s="40"/>
      <c r="G71" s="74"/>
      <c r="I71" s="41"/>
      <c r="J71" s="41"/>
      <c r="K71" s="41"/>
    </row>
    <row r="72" spans="1:29" x14ac:dyDescent="0.2">
      <c r="B72" s="60"/>
      <c r="E72" s="40"/>
      <c r="F72" s="40"/>
      <c r="G72" s="40"/>
    </row>
    <row r="73" spans="1:29" x14ac:dyDescent="0.2">
      <c r="A73" s="9" t="s">
        <v>0</v>
      </c>
      <c r="B73" s="60"/>
      <c r="E73" s="74"/>
      <c r="F73" s="74"/>
      <c r="G73" s="74"/>
    </row>
    <row r="74" spans="1:29" ht="15" x14ac:dyDescent="0.2">
      <c r="A74" s="9" t="s">
        <v>83</v>
      </c>
      <c r="B74" s="60"/>
      <c r="E74" s="47"/>
      <c r="F74" s="47"/>
      <c r="G74" s="74"/>
    </row>
    <row r="75" spans="1:29" ht="15" x14ac:dyDescent="0.2">
      <c r="A75" s="20" t="s">
        <v>158</v>
      </c>
      <c r="B75" s="60"/>
      <c r="E75" s="47"/>
      <c r="F75" s="47"/>
      <c r="G75" s="47"/>
    </row>
    <row r="76" spans="1:29" x14ac:dyDescent="0.2">
      <c r="A76" s="259"/>
      <c r="B76" s="259"/>
      <c r="C76" s="38" t="s">
        <v>28</v>
      </c>
      <c r="D76" s="38" t="s">
        <v>29</v>
      </c>
      <c r="E76" s="38" t="s">
        <v>28</v>
      </c>
      <c r="F76" s="38" t="s">
        <v>29</v>
      </c>
      <c r="G76" s="38" t="s">
        <v>28</v>
      </c>
      <c r="H76" s="38" t="s">
        <v>29</v>
      </c>
      <c r="I76" s="38" t="s">
        <v>28</v>
      </c>
      <c r="J76" s="38" t="s">
        <v>29</v>
      </c>
      <c r="K76" s="38" t="s">
        <v>28</v>
      </c>
      <c r="L76" s="38" t="s">
        <v>29</v>
      </c>
      <c r="M76" s="38" t="s">
        <v>28</v>
      </c>
      <c r="N76" s="38" t="s">
        <v>29</v>
      </c>
      <c r="O76" s="38" t="s">
        <v>28</v>
      </c>
      <c r="P76" s="38" t="s">
        <v>29</v>
      </c>
      <c r="Q76" s="38" t="s">
        <v>28</v>
      </c>
      <c r="R76" s="38" t="s">
        <v>29</v>
      </c>
      <c r="S76" s="38" t="s">
        <v>28</v>
      </c>
      <c r="T76" s="38" t="s">
        <v>29</v>
      </c>
      <c r="U76" s="38" t="s">
        <v>28</v>
      </c>
      <c r="V76" s="38" t="s">
        <v>29</v>
      </c>
      <c r="W76" s="38" t="s">
        <v>28</v>
      </c>
      <c r="X76" s="38" t="s">
        <v>29</v>
      </c>
      <c r="Y76" s="38" t="s">
        <v>28</v>
      </c>
      <c r="Z76" s="38" t="s">
        <v>29</v>
      </c>
      <c r="AA76" s="38"/>
      <c r="AB76" s="38"/>
    </row>
    <row r="77" spans="1:29" x14ac:dyDescent="0.2">
      <c r="A77" s="9" t="s">
        <v>30</v>
      </c>
      <c r="C77" s="37"/>
      <c r="D77" s="38" t="s">
        <v>84</v>
      </c>
      <c r="F77" s="38" t="s">
        <v>84</v>
      </c>
      <c r="H77" s="38" t="s">
        <v>84</v>
      </c>
      <c r="J77" s="38" t="s">
        <v>84</v>
      </c>
      <c r="L77" s="38" t="s">
        <v>84</v>
      </c>
      <c r="N77" s="38" t="s">
        <v>84</v>
      </c>
      <c r="P77" s="38" t="s">
        <v>84</v>
      </c>
      <c r="R77" s="38" t="s">
        <v>84</v>
      </c>
      <c r="T77" s="38" t="s">
        <v>84</v>
      </c>
      <c r="V77" s="38" t="s">
        <v>84</v>
      </c>
      <c r="X77" s="38" t="s">
        <v>84</v>
      </c>
      <c r="Z77" s="38" t="s">
        <v>84</v>
      </c>
    </row>
    <row r="78" spans="1:29" x14ac:dyDescent="0.2">
      <c r="A78" s="24"/>
      <c r="B78" s="24"/>
      <c r="C78" s="49" t="s">
        <v>32</v>
      </c>
      <c r="D78" s="49" t="s">
        <v>31</v>
      </c>
      <c r="E78" s="49" t="s">
        <v>33</v>
      </c>
      <c r="F78" s="49" t="s">
        <v>31</v>
      </c>
      <c r="G78" s="49" t="s">
        <v>34</v>
      </c>
      <c r="H78" s="49" t="s">
        <v>31</v>
      </c>
      <c r="I78" s="49" t="s">
        <v>35</v>
      </c>
      <c r="J78" s="49" t="s">
        <v>31</v>
      </c>
      <c r="K78" s="49" t="s">
        <v>36</v>
      </c>
      <c r="L78" s="49" t="s">
        <v>31</v>
      </c>
      <c r="M78" s="49" t="s">
        <v>37</v>
      </c>
      <c r="N78" s="49" t="s">
        <v>31</v>
      </c>
      <c r="O78" s="49" t="s">
        <v>38</v>
      </c>
      <c r="P78" s="49" t="s">
        <v>31</v>
      </c>
      <c r="Q78" s="49" t="s">
        <v>39</v>
      </c>
      <c r="R78" s="49" t="s">
        <v>31</v>
      </c>
      <c r="S78" s="49" t="s">
        <v>40</v>
      </c>
      <c r="T78" s="49" t="s">
        <v>31</v>
      </c>
      <c r="U78" s="49" t="s">
        <v>41</v>
      </c>
      <c r="V78" s="49" t="s">
        <v>31</v>
      </c>
      <c r="W78" s="49" t="s">
        <v>42</v>
      </c>
      <c r="X78" s="49" t="s">
        <v>31</v>
      </c>
      <c r="Y78" s="49" t="s">
        <v>43</v>
      </c>
      <c r="Z78" s="49" t="s">
        <v>31</v>
      </c>
      <c r="AA78" s="26"/>
      <c r="AB78" s="26" t="s">
        <v>124</v>
      </c>
      <c r="AC78" s="26" t="s">
        <v>125</v>
      </c>
    </row>
    <row r="79" spans="1:29" x14ac:dyDescent="0.2">
      <c r="A79" s="9" t="s">
        <v>48</v>
      </c>
      <c r="C79" s="22">
        <v>27324.16</v>
      </c>
      <c r="D79" s="37">
        <f>ROUND(C79+(C79/C$102*C$103),2)</f>
        <v>26889.4</v>
      </c>
      <c r="E79" s="70">
        <v>2071.94</v>
      </c>
      <c r="F79" s="37">
        <f>ROUND(E79+(E79/E$102*E$103),2)</f>
        <v>2039.02</v>
      </c>
      <c r="G79" s="70">
        <v>30562.27</v>
      </c>
      <c r="H79" s="37">
        <f>ROUND(G79+(G79/G$102*G$103),2)</f>
        <v>30066.7</v>
      </c>
      <c r="I79" s="22">
        <v>9488.1200000000008</v>
      </c>
      <c r="J79" s="37">
        <f>ROUND(I79+(I79/I$102*I$103),2)</f>
        <v>9336.31</v>
      </c>
      <c r="K79" s="22">
        <v>7279.71</v>
      </c>
      <c r="L79" s="37">
        <f>ROUND(K79+(K79/K$102*K$103),2)</f>
        <v>7166.19</v>
      </c>
      <c r="M79" s="37">
        <v>12851.72</v>
      </c>
      <c r="N79" s="37">
        <f>ROUND(M79+(M79/M$102*M$103),2)</f>
        <v>12649.07</v>
      </c>
      <c r="O79" s="307">
        <v>7235.9</v>
      </c>
      <c r="P79" s="37">
        <f>ROUND(O79+(O79/O$102*O$103),2)</f>
        <v>7120.2</v>
      </c>
      <c r="Q79" s="22">
        <v>8495.5499999999993</v>
      </c>
      <c r="R79" s="37">
        <f>ROUND(Q79+(Q79/Q$102*Q$103),2)</f>
        <v>8363.09</v>
      </c>
      <c r="S79" s="22">
        <v>4237.75</v>
      </c>
      <c r="T79" s="37">
        <f>ROUND(S79+(S79/S$102*S$103),2)</f>
        <v>4170.7700000000004</v>
      </c>
      <c r="U79" s="22">
        <v>5135.7299999999996</v>
      </c>
      <c r="V79" s="37">
        <f>ROUND(U79+(U79/U$102*U$103),2)</f>
        <v>5056</v>
      </c>
      <c r="W79" s="22">
        <v>9850.15</v>
      </c>
      <c r="X79" s="37">
        <f>ROUND(W79+(W79/W$102*W$103),2)</f>
        <v>9691.02</v>
      </c>
      <c r="Y79" s="22">
        <v>13559.49</v>
      </c>
      <c r="Z79" s="37">
        <f>ROUND(Y79+(Y79/Y$102*Y$103),2)</f>
        <v>13335.18</v>
      </c>
      <c r="AA79" s="260"/>
      <c r="AB79" s="261">
        <f t="shared" ref="AB79:AB101" si="25">+D79+F79+H79+J79+L79+N79+P79+R79+T79+V79+X79+Z79</f>
        <v>135882.95000000001</v>
      </c>
      <c r="AC79" s="37">
        <f t="shared" ref="AC79:AC101" si="26">+C79+E79+G79+I79+K79+M79+O79+Q79+S79+U79+W79+Y79</f>
        <v>138092.49</v>
      </c>
    </row>
    <row r="80" spans="1:29" x14ac:dyDescent="0.2">
      <c r="A80" s="9" t="s">
        <v>22</v>
      </c>
      <c r="C80" s="22">
        <v>762.1</v>
      </c>
      <c r="D80" s="37">
        <f t="shared" ref="D80:F101" si="27">ROUND(C80+(C80/C$102*C$103),2)</f>
        <v>749.97</v>
      </c>
      <c r="E80" s="70">
        <v>0</v>
      </c>
      <c r="F80" s="37">
        <f t="shared" si="27"/>
        <v>0</v>
      </c>
      <c r="G80" s="70">
        <v>529.95000000000005</v>
      </c>
      <c r="H80" s="37">
        <f t="shared" ref="H80" si="28">ROUND(G80+(G80/G$102*G$103),2)</f>
        <v>521.36</v>
      </c>
      <c r="I80" s="22">
        <v>645.15</v>
      </c>
      <c r="J80" s="37">
        <f t="shared" ref="J80" si="29">ROUND(I80+(I80/I$102*I$103),2)</f>
        <v>634.83000000000004</v>
      </c>
      <c r="K80" s="22">
        <v>1881.53</v>
      </c>
      <c r="L80" s="37">
        <f t="shared" ref="L80" si="30">ROUND(K80+(K80/K$102*K$103),2)</f>
        <v>1852.19</v>
      </c>
      <c r="M80" s="37">
        <v>1244.69</v>
      </c>
      <c r="N80" s="37">
        <f t="shared" ref="N80" si="31">ROUND(M80+(M80/M$102*M$103),2)</f>
        <v>1225.06</v>
      </c>
      <c r="O80" s="307">
        <v>0</v>
      </c>
      <c r="P80" s="37">
        <f t="shared" ref="P80" si="32">ROUND(O80+(O80/O$102*O$103),2)</f>
        <v>0</v>
      </c>
      <c r="Q80" s="22">
        <v>9017.11</v>
      </c>
      <c r="R80" s="37">
        <f t="shared" ref="R80" si="33">ROUND(Q80+(Q80/Q$102*Q$103),2)</f>
        <v>8876.51</v>
      </c>
      <c r="S80" s="22">
        <v>168.74</v>
      </c>
      <c r="T80" s="37">
        <f t="shared" ref="T80" si="34">ROUND(S80+(S80/S$102*S$103),2)</f>
        <v>166.07</v>
      </c>
      <c r="U80" s="22">
        <v>0</v>
      </c>
      <c r="V80" s="37">
        <f t="shared" ref="V80" si="35">ROUND(U80+(U80/U$102*U$103),2)</f>
        <v>0</v>
      </c>
      <c r="W80" s="22">
        <v>398.57</v>
      </c>
      <c r="X80" s="37">
        <f t="shared" ref="X80" si="36">ROUND(W80+(W80/W$102*W$103),2)</f>
        <v>392.13</v>
      </c>
      <c r="Y80" s="22">
        <v>46.69</v>
      </c>
      <c r="Z80" s="37">
        <f t="shared" ref="Z80" si="37">ROUND(Y80+(Y80/Y$102*Y$103),2)</f>
        <v>45.92</v>
      </c>
      <c r="AA80" s="260"/>
      <c r="AB80" s="261">
        <f t="shared" si="25"/>
        <v>14464.039999999999</v>
      </c>
      <c r="AC80" s="37">
        <f t="shared" si="26"/>
        <v>14694.53</v>
      </c>
    </row>
    <row r="81" spans="1:29" x14ac:dyDescent="0.2">
      <c r="A81" s="9" t="s">
        <v>49</v>
      </c>
      <c r="C81" s="22">
        <v>198755.4</v>
      </c>
      <c r="D81" s="37">
        <f t="shared" si="27"/>
        <v>195592.95</v>
      </c>
      <c r="E81" s="70">
        <v>197157.81</v>
      </c>
      <c r="F81" s="37">
        <f t="shared" si="27"/>
        <v>194025.67</v>
      </c>
      <c r="G81" s="261">
        <v>221260.1</v>
      </c>
      <c r="H81" s="37">
        <f t="shared" ref="H81" si="38">ROUND(G81+(G81/G$102*G$103),2)</f>
        <v>217672.34</v>
      </c>
      <c r="I81" s="22">
        <v>223447.29</v>
      </c>
      <c r="J81" s="37">
        <f t="shared" ref="J81" si="39">ROUND(I81+(I81/I$102*I$103),2)</f>
        <v>219872.05</v>
      </c>
      <c r="K81" s="22">
        <v>206602.33</v>
      </c>
      <c r="L81" s="37">
        <f t="shared" ref="L81" si="40">ROUND(K81+(K81/K$102*K$103),2)</f>
        <v>203380.59</v>
      </c>
      <c r="M81" s="37">
        <v>205067.57</v>
      </c>
      <c r="N81" s="37">
        <f t="shared" ref="N81" si="41">ROUND(M81+(M81/M$102*M$103),2)</f>
        <v>201833.95</v>
      </c>
      <c r="O81" s="307">
        <v>215459.88</v>
      </c>
      <c r="P81" s="37">
        <f t="shared" ref="P81" si="42">ROUND(O81+(O81/O$102*O$103),2)</f>
        <v>212014.79</v>
      </c>
      <c r="Q81" s="22">
        <v>277398.18</v>
      </c>
      <c r="R81" s="37">
        <f t="shared" ref="R81" si="43">ROUND(Q81+(Q81/Q$102*Q$103),2)</f>
        <v>273072.92</v>
      </c>
      <c r="S81" s="22">
        <v>338656.29</v>
      </c>
      <c r="T81" s="37">
        <f t="shared" ref="T81" si="44">ROUND(S81+(S81/S$102*S$103),2)</f>
        <v>333303.8</v>
      </c>
      <c r="U81" s="22">
        <v>286939.62</v>
      </c>
      <c r="V81" s="37">
        <f t="shared" ref="V81" si="45">ROUND(U81+(U81/U$102*U$103),2)</f>
        <v>282485.15999999997</v>
      </c>
      <c r="W81" s="22">
        <v>0</v>
      </c>
      <c r="X81" s="37">
        <f t="shared" ref="X81" si="46">ROUND(W81+(W81/W$102*W$103),2)</f>
        <v>0</v>
      </c>
      <c r="Y81" s="22">
        <v>206474.16</v>
      </c>
      <c r="Z81" s="37">
        <f t="shared" ref="Z81" si="47">ROUND(Y81+(Y81/Y$102*Y$103),2)</f>
        <v>203058.52</v>
      </c>
      <c r="AA81" s="260"/>
      <c r="AB81" s="261">
        <f t="shared" si="25"/>
        <v>2536312.7400000002</v>
      </c>
      <c r="AC81" s="37">
        <f t="shared" si="26"/>
        <v>2577218.63</v>
      </c>
    </row>
    <row r="82" spans="1:29" x14ac:dyDescent="0.2">
      <c r="A82" s="9" t="s">
        <v>23</v>
      </c>
      <c r="C82" s="22">
        <v>698857.37</v>
      </c>
      <c r="D82" s="37">
        <f t="shared" si="27"/>
        <v>687737.65</v>
      </c>
      <c r="E82" s="70">
        <v>772631.19</v>
      </c>
      <c r="F82" s="37">
        <f t="shared" si="27"/>
        <v>760356.82</v>
      </c>
      <c r="G82" s="70">
        <v>722607.37</v>
      </c>
      <c r="H82" s="37">
        <f t="shared" ref="H82" si="48">ROUND(G82+(G82/G$102*G$103),2)</f>
        <v>710890.22</v>
      </c>
      <c r="I82" s="22">
        <v>735349.61</v>
      </c>
      <c r="J82" s="37">
        <f t="shared" ref="J82" si="49">ROUND(I82+(I82/I$102*I$103),2)</f>
        <v>723583.75</v>
      </c>
      <c r="K82" s="22">
        <v>708244.99</v>
      </c>
      <c r="L82" s="37">
        <f t="shared" ref="L82" si="50">ROUND(K82+(K82/K$102*K$103),2)</f>
        <v>697200.68</v>
      </c>
      <c r="M82" s="37">
        <v>734356.65</v>
      </c>
      <c r="N82" s="37">
        <f t="shared" ref="N82" si="51">ROUND(M82+(M82/M$102*M$103),2)</f>
        <v>722776.89</v>
      </c>
      <c r="O82" s="307">
        <v>675645.63</v>
      </c>
      <c r="P82" s="37">
        <f t="shared" ref="P82" si="52">ROUND(O82+(O82/O$102*O$103),2)</f>
        <v>664842.41</v>
      </c>
      <c r="Q82" s="22">
        <v>724039.38</v>
      </c>
      <c r="R82" s="37">
        <f t="shared" ref="R82" si="53">ROUND(Q82+(Q82/Q$102*Q$103),2)</f>
        <v>712749.97</v>
      </c>
      <c r="S82" s="22">
        <v>549309.9</v>
      </c>
      <c r="T82" s="37">
        <f t="shared" ref="T82" si="54">ROUND(S82+(S82/S$102*S$103),2)</f>
        <v>540628.02</v>
      </c>
      <c r="U82" s="22">
        <v>518137.81</v>
      </c>
      <c r="V82" s="37">
        <f t="shared" ref="V82" si="55">ROUND(U82+(U82/U$102*U$103),2)</f>
        <v>510094.23</v>
      </c>
      <c r="W82" s="22">
        <v>599301.56999999995</v>
      </c>
      <c r="X82" s="37">
        <f t="shared" ref="X82" si="56">ROUND(W82+(W82/W$102*W$103),2)</f>
        <v>589619.71</v>
      </c>
      <c r="Y82" s="22">
        <v>703355.44</v>
      </c>
      <c r="Z82" s="37">
        <f t="shared" ref="Z82" si="57">ROUND(Y82+(Y82/Y$102*Y$103),2)</f>
        <v>691720.06</v>
      </c>
      <c r="AA82" s="260"/>
      <c r="AB82" s="261">
        <f t="shared" si="25"/>
        <v>8012200.4100000001</v>
      </c>
      <c r="AC82" s="37">
        <f t="shared" si="26"/>
        <v>8141836.9100000001</v>
      </c>
    </row>
    <row r="83" spans="1:29" x14ac:dyDescent="0.2">
      <c r="A83" s="9" t="s">
        <v>24</v>
      </c>
      <c r="C83" s="22">
        <v>132287.15</v>
      </c>
      <c r="D83" s="37">
        <f t="shared" si="27"/>
        <v>130182.29</v>
      </c>
      <c r="E83" s="70">
        <v>129046.38</v>
      </c>
      <c r="F83" s="37">
        <f t="shared" si="27"/>
        <v>126996.29</v>
      </c>
      <c r="G83" s="70">
        <v>142743.82999999999</v>
      </c>
      <c r="H83" s="37">
        <f t="shared" ref="H83" si="58">ROUND(G83+(G83/G$102*G$103),2)</f>
        <v>140429.22</v>
      </c>
      <c r="I83" s="22">
        <v>132420.41</v>
      </c>
      <c r="J83" s="37">
        <f t="shared" ref="J83" si="59">ROUND(I83+(I83/I$102*I$103),2)</f>
        <v>130301.64</v>
      </c>
      <c r="K83" s="22">
        <v>126250.53</v>
      </c>
      <c r="L83" s="37">
        <f t="shared" ref="L83" si="60">ROUND(K83+(K83/K$102*K$103),2)</f>
        <v>124281.79</v>
      </c>
      <c r="M83" s="37">
        <v>138761.12</v>
      </c>
      <c r="N83" s="37">
        <f t="shared" ref="N83" si="61">ROUND(M83+(M83/M$102*M$103),2)</f>
        <v>136573.04999999999</v>
      </c>
      <c r="O83" s="307">
        <v>154117.57</v>
      </c>
      <c r="P83" s="37">
        <f t="shared" ref="P83" si="62">ROUND(O83+(O83/O$102*O$103),2)</f>
        <v>151653.31</v>
      </c>
      <c r="Q83" s="22">
        <v>138413.45000000001</v>
      </c>
      <c r="R83" s="37">
        <f t="shared" ref="R83" si="63">ROUND(Q83+(Q83/Q$102*Q$103),2)</f>
        <v>136255.26999999999</v>
      </c>
      <c r="S83" s="22">
        <v>85332.76</v>
      </c>
      <c r="T83" s="37">
        <f t="shared" ref="T83" si="64">ROUND(S83+(S83/S$102*S$103),2)</f>
        <v>83984.07</v>
      </c>
      <c r="U83" s="22">
        <v>22077.84</v>
      </c>
      <c r="V83" s="37">
        <f t="shared" ref="V83" si="65">ROUND(U83+(U83/U$102*U$103),2)</f>
        <v>21735.1</v>
      </c>
      <c r="W83" s="22">
        <v>106182.9</v>
      </c>
      <c r="X83" s="37">
        <f t="shared" ref="X83" si="66">ROUND(W83+(W83/W$102*W$103),2)</f>
        <v>104467.49</v>
      </c>
      <c r="Y83" s="22">
        <v>147723.72</v>
      </c>
      <c r="Z83" s="37">
        <f t="shared" ref="Z83" si="67">ROUND(Y83+(Y83/Y$102*Y$103),2)</f>
        <v>145279.97</v>
      </c>
      <c r="AA83" s="260"/>
      <c r="AB83" s="261">
        <f t="shared" si="25"/>
        <v>1432139.4900000002</v>
      </c>
      <c r="AC83" s="37">
        <f t="shared" si="26"/>
        <v>1455357.66</v>
      </c>
    </row>
    <row r="84" spans="1:29" x14ac:dyDescent="0.2">
      <c r="A84" s="9" t="s">
        <v>25</v>
      </c>
      <c r="C84" s="22">
        <v>122676.5</v>
      </c>
      <c r="D84" s="37">
        <f t="shared" si="27"/>
        <v>120724.56</v>
      </c>
      <c r="E84" s="70">
        <f>260.58+169000.06</f>
        <v>169260.63999999998</v>
      </c>
      <c r="F84" s="37">
        <f t="shared" si="27"/>
        <v>166571.69</v>
      </c>
      <c r="G84" s="70">
        <v>135993.89000000001</v>
      </c>
      <c r="H84" s="37">
        <f t="shared" ref="H84" si="68">ROUND(G84+(G84/G$102*G$103),2)</f>
        <v>133788.74</v>
      </c>
      <c r="I84" s="22">
        <v>137234.51999999999</v>
      </c>
      <c r="J84" s="37">
        <f t="shared" ref="J84" si="69">ROUND(I84+(I84/I$102*I$103),2)</f>
        <v>135038.72</v>
      </c>
      <c r="K84" s="22">
        <f>9594.25+138870.7</f>
        <v>148464.95000000001</v>
      </c>
      <c r="L84" s="37">
        <f t="shared" ref="L84" si="70">ROUND(K84+(K84/K$102*K$103),2)</f>
        <v>146149.79999999999</v>
      </c>
      <c r="M84" s="37">
        <v>126610.58</v>
      </c>
      <c r="N84" s="37">
        <f t="shared" ref="N84" si="71">ROUND(M84+(M84/M$102*M$103),2)</f>
        <v>124614.11</v>
      </c>
      <c r="O84" s="307">
        <v>111383.26</v>
      </c>
      <c r="P84" s="37">
        <f t="shared" ref="P84" si="72">ROUND(O84+(O84/O$102*O$103),2)</f>
        <v>109602.3</v>
      </c>
      <c r="Q84" s="22">
        <f>321.48+134200.9</f>
        <v>134522.38</v>
      </c>
      <c r="R84" s="37">
        <f t="shared" ref="R84" si="73">ROUND(Q84+(Q84/Q$102*Q$103),2)</f>
        <v>132424.87</v>
      </c>
      <c r="S84" s="22">
        <f>1186.54+126586.9</f>
        <v>127773.43999999999</v>
      </c>
      <c r="T84" s="37">
        <f t="shared" ref="T84" si="74">ROUND(S84+(S84/S$102*S$103),2)</f>
        <v>125753.97</v>
      </c>
      <c r="U84" s="22">
        <v>114008.78</v>
      </c>
      <c r="V84" s="37">
        <f t="shared" ref="V84" si="75">ROUND(U84+(U84/U$102*U$103),2)</f>
        <v>112238.91</v>
      </c>
      <c r="W84" s="22">
        <f>6802.04+139592.84</f>
        <v>146394.88</v>
      </c>
      <c r="X84" s="37">
        <f t="shared" ref="X84" si="76">ROUND(W84+(W84/W$102*W$103),2)</f>
        <v>144029.84</v>
      </c>
      <c r="Y84" s="22">
        <f>31958.36+120353.84</f>
        <v>152312.20000000001</v>
      </c>
      <c r="Z84" s="37">
        <f t="shared" ref="Z84" si="77">ROUND(Y84+(Y84/Y$102*Y$103),2)</f>
        <v>149792.54999999999</v>
      </c>
      <c r="AA84" s="260"/>
      <c r="AB84" s="261">
        <f t="shared" si="25"/>
        <v>1600730.06</v>
      </c>
      <c r="AC84" s="37">
        <f t="shared" si="26"/>
        <v>1626636.0199999998</v>
      </c>
    </row>
    <row r="85" spans="1:29" x14ac:dyDescent="0.2">
      <c r="A85" s="9" t="s">
        <v>26</v>
      </c>
      <c r="C85" s="22">
        <v>1988780.91</v>
      </c>
      <c r="D85" s="37">
        <f t="shared" si="27"/>
        <v>1957136.84</v>
      </c>
      <c r="E85" s="70">
        <v>2138601.5499999998</v>
      </c>
      <c r="F85" s="37">
        <f t="shared" si="27"/>
        <v>2104626.7400000002</v>
      </c>
      <c r="G85" s="70">
        <v>2490567.73</v>
      </c>
      <c r="H85" s="37">
        <f t="shared" ref="H85" si="78">ROUND(G85+(G85/G$102*G$103),2)</f>
        <v>2450182.92</v>
      </c>
      <c r="I85" s="22">
        <v>2523982.2400000002</v>
      </c>
      <c r="J85" s="37">
        <f t="shared" ref="J85" si="79">ROUND(I85+(I85/I$102*I$103),2)</f>
        <v>2483597.6</v>
      </c>
      <c r="K85" s="22">
        <v>2507189.2200000002</v>
      </c>
      <c r="L85" s="37">
        <f t="shared" ref="L85" si="80">ROUND(K85+(K85/K$102*K$103),2)</f>
        <v>2468092.35</v>
      </c>
      <c r="M85" s="37">
        <v>2495947.4</v>
      </c>
      <c r="N85" s="37">
        <f t="shared" ref="N85" si="81">ROUND(M85+(M85/M$102*M$103),2)</f>
        <v>2456589.85</v>
      </c>
      <c r="O85" s="307">
        <v>2474663.73</v>
      </c>
      <c r="P85" s="37">
        <f t="shared" ref="P85" si="82">ROUND(O85+(O85/O$102*O$103),2)</f>
        <v>2435095.15</v>
      </c>
      <c r="Q85" s="22">
        <v>3148602.93</v>
      </c>
      <c r="R85" s="37">
        <f t="shared" ref="R85" si="83">ROUND(Q85+(Q85/Q$102*Q$103),2)</f>
        <v>3099509.11</v>
      </c>
      <c r="S85" s="22">
        <v>1805849.27</v>
      </c>
      <c r="T85" s="37">
        <f t="shared" ref="T85" si="84">ROUND(S85+(S85/S$102*S$103),2)</f>
        <v>1777307.7</v>
      </c>
      <c r="U85" s="22">
        <v>1905089.97</v>
      </c>
      <c r="V85" s="37">
        <f t="shared" ref="V85" si="85">ROUND(U85+(U85/U$102*U$103),2)</f>
        <v>1875515.32</v>
      </c>
      <c r="W85" s="22">
        <v>2229914.2200000002</v>
      </c>
      <c r="X85" s="37">
        <f t="shared" ref="X85" si="86">ROUND(W85+(W85/W$102*W$103),2)</f>
        <v>2193889.42</v>
      </c>
      <c r="Y85" s="70">
        <v>2275280.69</v>
      </c>
      <c r="Z85" s="37">
        <f t="shared" ref="Z85" si="87">ROUND(Y85+(Y85/Y$102*Y$103),2)</f>
        <v>2237641.4500000002</v>
      </c>
      <c r="AA85" s="260"/>
      <c r="AB85" s="261">
        <f t="shared" si="25"/>
        <v>27539184.449999999</v>
      </c>
      <c r="AC85" s="37">
        <f t="shared" si="26"/>
        <v>27984469.859999999</v>
      </c>
    </row>
    <row r="86" spans="1:29" x14ac:dyDescent="0.2">
      <c r="A86" s="9" t="s">
        <v>50</v>
      </c>
      <c r="C86" s="22">
        <v>13550.34</v>
      </c>
      <c r="D86" s="37">
        <f t="shared" si="27"/>
        <v>13334.74</v>
      </c>
      <c r="E86" s="70">
        <v>15430.49</v>
      </c>
      <c r="F86" s="37">
        <f t="shared" si="27"/>
        <v>15185.35</v>
      </c>
      <c r="G86" s="70">
        <v>27024.14</v>
      </c>
      <c r="H86" s="37">
        <f t="shared" ref="H86" si="88">ROUND(G86+(G86/G$102*G$103),2)</f>
        <v>26585.94</v>
      </c>
      <c r="I86" s="22">
        <v>25952.76</v>
      </c>
      <c r="J86" s="37">
        <f t="shared" ref="J86" si="89">ROUND(I86+(I86/I$102*I$103),2)</f>
        <v>25537.51</v>
      </c>
      <c r="K86" s="22">
        <v>16735.599999999999</v>
      </c>
      <c r="L86" s="37">
        <f t="shared" ref="L86" si="90">ROUND(K86+(K86/K$102*K$103),2)</f>
        <v>16474.63</v>
      </c>
      <c r="M86" s="37">
        <v>15831.59</v>
      </c>
      <c r="N86" s="37">
        <f t="shared" ref="N86" si="91">ROUND(M86+(M86/M$102*M$103),2)</f>
        <v>15581.95</v>
      </c>
      <c r="O86" s="307">
        <v>13278.19</v>
      </c>
      <c r="P86" s="37">
        <f t="shared" ref="P86" si="92">ROUND(O86+(O86/O$102*O$103),2)</f>
        <v>13065.88</v>
      </c>
      <c r="Q86" s="22">
        <v>16072.33</v>
      </c>
      <c r="R86" s="37">
        <f t="shared" ref="R86" si="93">ROUND(Q86+(Q86/Q$102*Q$103),2)</f>
        <v>15821.73</v>
      </c>
      <c r="S86" s="22">
        <v>16711.2</v>
      </c>
      <c r="T86" s="37">
        <f t="shared" ref="T86" si="94">ROUND(S86+(S86/S$102*S$103),2)</f>
        <v>16447.080000000002</v>
      </c>
      <c r="U86" s="22">
        <v>7890.36</v>
      </c>
      <c r="V86" s="37">
        <f t="shared" ref="V86" si="95">ROUND(U86+(U86/U$102*U$103),2)</f>
        <v>7767.87</v>
      </c>
      <c r="W86" s="22">
        <v>15521.89</v>
      </c>
      <c r="X86" s="37">
        <f t="shared" ref="X86" si="96">ROUND(W86+(W86/W$102*W$103),2)</f>
        <v>15271.13</v>
      </c>
      <c r="Y86" s="22">
        <v>16632.349999999999</v>
      </c>
      <c r="Z86" s="37">
        <f t="shared" ref="Z86" si="97">ROUND(Y86+(Y86/Y$102*Y$103),2)</f>
        <v>16357.21</v>
      </c>
      <c r="AA86" s="260"/>
      <c r="AB86" s="261">
        <f t="shared" si="25"/>
        <v>197431.02</v>
      </c>
      <c r="AC86" s="37">
        <f t="shared" si="26"/>
        <v>200631.23999999996</v>
      </c>
    </row>
    <row r="87" spans="1:29" x14ac:dyDescent="0.2">
      <c r="A87" s="9" t="s">
        <v>55</v>
      </c>
      <c r="C87" s="22">
        <v>298571.59999999998</v>
      </c>
      <c r="D87" s="37">
        <f t="shared" si="27"/>
        <v>293820.94</v>
      </c>
      <c r="E87" s="70">
        <v>318833.83</v>
      </c>
      <c r="F87" s="37">
        <f t="shared" si="27"/>
        <v>313768.69</v>
      </c>
      <c r="G87" s="70">
        <v>304580.94</v>
      </c>
      <c r="H87" s="37">
        <f t="shared" ref="H87" si="98">ROUND(G87+(G87/G$102*G$103),2)</f>
        <v>299642.13</v>
      </c>
      <c r="I87" s="22">
        <v>302547.75</v>
      </c>
      <c r="J87" s="37">
        <f t="shared" ref="J87" si="99">ROUND(I87+(I87/I$102*I$103),2)</f>
        <v>297706.88</v>
      </c>
      <c r="K87" s="22">
        <v>327294.01</v>
      </c>
      <c r="L87" s="37">
        <f t="shared" ref="L87" si="100">ROUND(K87+(K87/K$102*K$103),2)</f>
        <v>322190.21999999997</v>
      </c>
      <c r="M87" s="37">
        <v>316767.67</v>
      </c>
      <c r="N87" s="37">
        <f t="shared" ref="N87" si="101">ROUND(M87+(M87/M$102*M$103),2)</f>
        <v>311772.69</v>
      </c>
      <c r="O87" s="307">
        <v>312619.34999999998</v>
      </c>
      <c r="P87" s="37">
        <f t="shared" ref="P87" si="102">ROUND(O87+(O87/O$102*O$103),2)</f>
        <v>307620.73</v>
      </c>
      <c r="Q87" s="22">
        <v>337553.6</v>
      </c>
      <c r="R87" s="37">
        <f t="shared" ref="R87" si="103">ROUND(Q87+(Q87/Q$102*Q$103),2)</f>
        <v>332290.38</v>
      </c>
      <c r="S87" s="22">
        <v>241593.02</v>
      </c>
      <c r="T87" s="37">
        <f t="shared" ref="T87" si="104">ROUND(S87+(S87/S$102*S$103),2)</f>
        <v>237774.63</v>
      </c>
      <c r="U87" s="22">
        <v>295294.03000000003</v>
      </c>
      <c r="V87" s="37">
        <f t="shared" ref="V87" si="105">ROUND(U87+(U87/U$102*U$103),2)</f>
        <v>290709.88</v>
      </c>
      <c r="W87" s="22">
        <v>325583.71999999997</v>
      </c>
      <c r="X87" s="37">
        <f t="shared" ref="X87" si="106">ROUND(W87+(W87/W$102*W$103),2)</f>
        <v>320323.84000000003</v>
      </c>
      <c r="Y87" s="22">
        <v>306217.74</v>
      </c>
      <c r="Z87" s="37">
        <f t="shared" ref="Z87" si="107">ROUND(Y87+(Y87/Y$102*Y$103),2)</f>
        <v>301152.08</v>
      </c>
      <c r="AA87" s="260"/>
      <c r="AB87" s="261">
        <f t="shared" si="25"/>
        <v>3628773.09</v>
      </c>
      <c r="AC87" s="37">
        <f t="shared" si="26"/>
        <v>3687457.26</v>
      </c>
    </row>
    <row r="88" spans="1:29" x14ac:dyDescent="0.2">
      <c r="A88" s="9" t="s">
        <v>51</v>
      </c>
      <c r="C88" s="22">
        <v>69913.41</v>
      </c>
      <c r="D88" s="37">
        <f t="shared" si="27"/>
        <v>68801</v>
      </c>
      <c r="E88" s="70">
        <v>112624.33</v>
      </c>
      <c r="F88" s="37">
        <f t="shared" si="27"/>
        <v>110835.13</v>
      </c>
      <c r="G88" s="70">
        <v>135691.01999999999</v>
      </c>
      <c r="H88" s="37">
        <f t="shared" ref="H88" si="108">ROUND(G88+(G88/G$102*G$103),2)</f>
        <v>133490.78</v>
      </c>
      <c r="I88" s="22">
        <v>105030.35</v>
      </c>
      <c r="J88" s="37">
        <f t="shared" ref="J88" si="109">ROUND(I88+(I88/I$102*I$103),2)</f>
        <v>103349.83</v>
      </c>
      <c r="K88" s="22">
        <v>107567.52</v>
      </c>
      <c r="L88" s="37">
        <f t="shared" ref="L88" si="110">ROUND(K88+(K88/K$102*K$103),2)</f>
        <v>105890.12</v>
      </c>
      <c r="M88" s="37">
        <v>106604.33</v>
      </c>
      <c r="N88" s="37">
        <f t="shared" ref="N88" si="111">ROUND(M88+(M88/M$102*M$103),2)</f>
        <v>104923.33</v>
      </c>
      <c r="O88" s="307">
        <v>64178.73</v>
      </c>
      <c r="P88" s="37">
        <f t="shared" ref="P88" si="112">ROUND(O88+(O88/O$102*O$103),2)</f>
        <v>63152.55</v>
      </c>
      <c r="Q88" s="22">
        <v>145794.04999999999</v>
      </c>
      <c r="R88" s="37">
        <f t="shared" ref="R88" si="113">ROUND(Q88+(Q88/Q$102*Q$103),2)</f>
        <v>143520.79</v>
      </c>
      <c r="S88" s="22">
        <v>103232.34</v>
      </c>
      <c r="T88" s="37">
        <f t="shared" ref="T88" si="114">ROUND(S88+(S88/S$102*S$103),2)</f>
        <v>101600.75</v>
      </c>
      <c r="U88" s="22">
        <v>92870.16</v>
      </c>
      <c r="V88" s="37">
        <f t="shared" ref="V88" si="115">ROUND(U88+(U88/U$102*U$103),2)</f>
        <v>91428.44</v>
      </c>
      <c r="W88" s="22">
        <v>71058.320000000007</v>
      </c>
      <c r="X88" s="37">
        <f t="shared" ref="X88" si="116">ROUND(W88+(W88/W$102*W$103),2)</f>
        <v>69910.36</v>
      </c>
      <c r="Y88" s="22">
        <v>146790.39000000001</v>
      </c>
      <c r="Z88" s="37">
        <f t="shared" ref="Z88" si="117">ROUND(Y88+(Y88/Y$102*Y$103),2)</f>
        <v>144362.07999999999</v>
      </c>
      <c r="AA88" s="260"/>
      <c r="AB88" s="261">
        <f t="shared" si="25"/>
        <v>1241265.1600000004</v>
      </c>
      <c r="AC88" s="37">
        <f t="shared" si="26"/>
        <v>1261354.9500000002</v>
      </c>
    </row>
    <row r="89" spans="1:29" x14ac:dyDescent="0.2">
      <c r="A89" s="9" t="s">
        <v>52</v>
      </c>
      <c r="C89" s="22">
        <v>138053.18</v>
      </c>
      <c r="D89" s="37">
        <f t="shared" si="27"/>
        <v>135856.57999999999</v>
      </c>
      <c r="E89" s="70">
        <v>141794.19</v>
      </c>
      <c r="F89" s="37">
        <f t="shared" si="27"/>
        <v>139541.57999999999</v>
      </c>
      <c r="G89" s="70">
        <v>204135.11</v>
      </c>
      <c r="H89" s="37">
        <f t="shared" ref="H89" si="118">ROUND(G89+(G89/G$102*G$103),2)</f>
        <v>200825.04</v>
      </c>
      <c r="I89" s="22">
        <v>165204.78</v>
      </c>
      <c r="J89" s="37">
        <f t="shared" ref="J89" si="119">ROUND(I89+(I89/I$102*I$103),2)</f>
        <v>162561.44</v>
      </c>
      <c r="K89" s="22">
        <v>175399.21</v>
      </c>
      <c r="L89" s="37">
        <f t="shared" ref="L89" si="120">ROUND(K89+(K89/K$102*K$103),2)</f>
        <v>172664.05</v>
      </c>
      <c r="M89" s="22">
        <v>158760.47</v>
      </c>
      <c r="N89" s="37">
        <f t="shared" ref="N89" si="121">ROUND(M89+(M89/M$102*M$103),2)</f>
        <v>156257.04</v>
      </c>
      <c r="O89" s="307">
        <v>105731.36</v>
      </c>
      <c r="P89" s="37">
        <f t="shared" ref="P89" si="122">ROUND(O89+(O89/O$102*O$103),2)</f>
        <v>104040.77</v>
      </c>
      <c r="Q89" s="22">
        <v>278990.78999999998</v>
      </c>
      <c r="R89" s="37">
        <f t="shared" ref="R89" si="123">ROUND(Q89+(Q89/Q$102*Q$103),2)</f>
        <v>274640.69</v>
      </c>
      <c r="S89" s="22">
        <v>127314.75</v>
      </c>
      <c r="T89" s="37">
        <f t="shared" ref="T89" si="124">ROUND(S89+(S89/S$102*S$103),2)</f>
        <v>125302.53</v>
      </c>
      <c r="U89" s="22">
        <v>110763.24</v>
      </c>
      <c r="V89" s="37">
        <f t="shared" ref="V89" si="125">ROUND(U89+(U89/U$102*U$103),2)</f>
        <v>109043.75</v>
      </c>
      <c r="W89" s="22">
        <v>220457.26</v>
      </c>
      <c r="X89" s="37">
        <f t="shared" ref="X89" si="126">ROUND(W89+(W89/W$102*W$103),2)</f>
        <v>216895.72</v>
      </c>
      <c r="Y89" s="22">
        <v>243218.61</v>
      </c>
      <c r="Z89" s="37">
        <f t="shared" ref="Z89" si="127">ROUND(Y89+(Y89/Y$102*Y$103),2)</f>
        <v>239195.12</v>
      </c>
      <c r="AA89" s="260"/>
      <c r="AB89" s="261">
        <f t="shared" si="25"/>
        <v>2036824.31</v>
      </c>
      <c r="AC89" s="37">
        <f t="shared" si="26"/>
        <v>2069822.9500000002</v>
      </c>
    </row>
    <row r="90" spans="1:29" x14ac:dyDescent="0.2">
      <c r="A90" s="9" t="s">
        <v>56</v>
      </c>
      <c r="C90" s="22">
        <v>643528.18999999994</v>
      </c>
      <c r="D90" s="37">
        <f t="shared" si="27"/>
        <v>633288.82999999996</v>
      </c>
      <c r="E90" s="70">
        <v>797149.67</v>
      </c>
      <c r="F90" s="37">
        <f t="shared" si="27"/>
        <v>784485.78</v>
      </c>
      <c r="G90" s="70">
        <v>709994.7</v>
      </c>
      <c r="H90" s="37">
        <f t="shared" ref="H90" si="128">ROUND(G90+(G90/G$102*G$103),2)</f>
        <v>698482.06</v>
      </c>
      <c r="I90" s="70">
        <v>620706.64</v>
      </c>
      <c r="J90" s="37">
        <f t="shared" ref="J90" si="129">ROUND(I90+(I90/I$102*I$103),2)</f>
        <v>610775.11</v>
      </c>
      <c r="K90" s="22">
        <v>828457.99</v>
      </c>
      <c r="L90" s="37">
        <f t="shared" ref="L90" si="130">ROUND(K90+(K90/K$102*K$103),2)</f>
        <v>815539.09</v>
      </c>
      <c r="M90" s="22">
        <v>616006.6</v>
      </c>
      <c r="N90" s="37">
        <f t="shared" ref="N90" si="131">ROUND(M90+(M90/M$102*M$103),2)</f>
        <v>606293.05000000005</v>
      </c>
      <c r="O90" s="307">
        <v>407533.76</v>
      </c>
      <c r="P90" s="37">
        <f t="shared" ref="P90" si="132">ROUND(O90+(O90/O$102*O$103),2)</f>
        <v>401017.51</v>
      </c>
      <c r="Q90" s="22">
        <v>798135.05</v>
      </c>
      <c r="R90" s="37">
        <f t="shared" ref="R90" si="133">ROUND(Q90+(Q90/Q$102*Q$103),2)</f>
        <v>785690.33</v>
      </c>
      <c r="S90" s="22">
        <v>610463.4</v>
      </c>
      <c r="T90" s="37">
        <f t="shared" ref="T90" si="134">ROUND(S90+(S90/S$102*S$103),2)</f>
        <v>600814.99</v>
      </c>
      <c r="U90" s="22">
        <v>663476.49</v>
      </c>
      <c r="V90" s="37">
        <f t="shared" ref="V90" si="135">ROUND(U90+(U90/U$102*U$103),2)</f>
        <v>653176.67000000004</v>
      </c>
      <c r="W90" s="22">
        <v>725373.33</v>
      </c>
      <c r="X90" s="37">
        <f t="shared" ref="X90" si="136">ROUND(W90+(W90/W$102*W$103),2)</f>
        <v>713654.75</v>
      </c>
      <c r="Y90" s="22">
        <v>700763.58</v>
      </c>
      <c r="Z90" s="37">
        <f t="shared" ref="Z90" si="137">ROUND(Y90+(Y90/Y$102*Y$103),2)</f>
        <v>689171.07</v>
      </c>
      <c r="AA90" s="260"/>
      <c r="AB90" s="261">
        <f t="shared" si="25"/>
        <v>7992389.2400000002</v>
      </c>
      <c r="AC90" s="37">
        <f t="shared" si="26"/>
        <v>8121589.3999999994</v>
      </c>
    </row>
    <row r="91" spans="1:29" x14ac:dyDescent="0.2">
      <c r="A91" s="9" t="s">
        <v>53</v>
      </c>
      <c r="C91" s="22">
        <v>18526.599999999999</v>
      </c>
      <c r="D91" s="37">
        <f t="shared" si="27"/>
        <v>18231.82</v>
      </c>
      <c r="E91" s="70">
        <v>9726.93</v>
      </c>
      <c r="F91" s="37">
        <f t="shared" si="27"/>
        <v>9572.4</v>
      </c>
      <c r="G91" s="70">
        <v>22965.02</v>
      </c>
      <c r="H91" s="37">
        <f t="shared" ref="H91" si="138">ROUND(G91+(G91/G$102*G$103),2)</f>
        <v>22592.639999999999</v>
      </c>
      <c r="I91" s="22">
        <v>12756.39</v>
      </c>
      <c r="J91" s="37">
        <f t="shared" ref="J91" si="139">ROUND(I91+(I91/I$102*I$103),2)</f>
        <v>12552.28</v>
      </c>
      <c r="K91" s="22">
        <v>9109.7199999999993</v>
      </c>
      <c r="L91" s="37">
        <f t="shared" ref="L91" si="140">ROUND(K91+(K91/K$102*K$103),2)</f>
        <v>8967.66</v>
      </c>
      <c r="M91" s="22">
        <v>12483</v>
      </c>
      <c r="N91" s="37">
        <f t="shared" ref="N91" si="141">ROUND(M91+(M91/M$102*M$103),2)</f>
        <v>12286.16</v>
      </c>
      <c r="O91" s="307">
        <v>7254.55</v>
      </c>
      <c r="P91" s="37">
        <f t="shared" ref="P91" si="142">ROUND(O91+(O91/O$102*O$103),2)</f>
        <v>7138.55</v>
      </c>
      <c r="Q91" s="22">
        <v>9449.93</v>
      </c>
      <c r="R91" s="37">
        <f t="shared" ref="R91" si="143">ROUND(Q91+(Q91/Q$102*Q$103),2)</f>
        <v>9302.58</v>
      </c>
      <c r="S91" s="22">
        <v>0</v>
      </c>
      <c r="T91" s="37">
        <f t="shared" ref="T91" si="144">ROUND(S91+(S91/S$102*S$103),2)</f>
        <v>0</v>
      </c>
      <c r="U91" s="22">
        <v>24819.77</v>
      </c>
      <c r="V91" s="37">
        <f t="shared" ref="V91" si="145">ROUND(U91+(U91/U$102*U$103),2)</f>
        <v>24434.47</v>
      </c>
      <c r="W91" s="22">
        <v>11976.2</v>
      </c>
      <c r="X91" s="37">
        <f t="shared" ref="X91" si="146">ROUND(W91+(W91/W$102*W$103),2)</f>
        <v>11782.72</v>
      </c>
      <c r="Y91" s="22">
        <v>9941.25</v>
      </c>
      <c r="Z91" s="37">
        <f t="shared" ref="Z91" si="147">ROUND(Y91+(Y91/Y$102*Y$103),2)</f>
        <v>9776.7999999999993</v>
      </c>
      <c r="AA91" s="260"/>
      <c r="AB91" s="261">
        <f t="shared" si="25"/>
        <v>146638.07999999999</v>
      </c>
      <c r="AC91" s="37">
        <f t="shared" si="26"/>
        <v>149009.36000000002</v>
      </c>
    </row>
    <row r="92" spans="1:29" x14ac:dyDescent="0.2">
      <c r="A92" s="9" t="s">
        <v>57</v>
      </c>
      <c r="C92" s="22">
        <v>59933.08</v>
      </c>
      <c r="D92" s="37">
        <f t="shared" si="27"/>
        <v>58979.47</v>
      </c>
      <c r="E92" s="70">
        <v>89204.15</v>
      </c>
      <c r="F92" s="37">
        <f t="shared" si="27"/>
        <v>87787.01</v>
      </c>
      <c r="G92" s="70">
        <v>87261.94</v>
      </c>
      <c r="H92" s="37">
        <f t="shared" ref="H92" si="148">ROUND(G92+(G92/G$102*G$103),2)</f>
        <v>85846.98</v>
      </c>
      <c r="I92" s="22">
        <v>67915.539999999994</v>
      </c>
      <c r="J92" s="37">
        <f t="shared" ref="J92" si="149">ROUND(I92+(I92/I$102*I$103),2)</f>
        <v>66828.87</v>
      </c>
      <c r="K92" s="22">
        <v>100869.24</v>
      </c>
      <c r="L92" s="37">
        <f t="shared" ref="L92" si="150">ROUND(K92+(K92/K$102*K$103),2)</f>
        <v>99296.29</v>
      </c>
      <c r="M92" s="22">
        <v>97712.59</v>
      </c>
      <c r="N92" s="37">
        <f t="shared" ref="N92" si="151">ROUND(M92+(M92/M$102*M$103),2)</f>
        <v>96171.8</v>
      </c>
      <c r="O92" s="307">
        <v>66229.77</v>
      </c>
      <c r="P92" s="37">
        <f t="shared" ref="P92" si="152">ROUND(O92+(O92/O$102*O$103),2)</f>
        <v>65170.79</v>
      </c>
      <c r="Q92" s="22">
        <v>79961.63</v>
      </c>
      <c r="R92" s="37">
        <f t="shared" ref="R92" si="153">ROUND(Q92+(Q92/Q$102*Q$103),2)</f>
        <v>78714.850000000006</v>
      </c>
      <c r="S92" s="22">
        <v>53360</v>
      </c>
      <c r="T92" s="37">
        <f t="shared" ref="T92" si="154">ROUND(S92+(S92/S$102*S$103),2)</f>
        <v>52516.639999999999</v>
      </c>
      <c r="U92" s="22">
        <v>58562.39</v>
      </c>
      <c r="V92" s="37">
        <f t="shared" ref="V92" si="155">ROUND(U92+(U92/U$102*U$103),2)</f>
        <v>57653.27</v>
      </c>
      <c r="W92" s="22">
        <v>71538.33</v>
      </c>
      <c r="X92" s="37">
        <f t="shared" ref="X92" si="156">ROUND(W92+(W92/W$102*W$103),2)</f>
        <v>70382.61</v>
      </c>
      <c r="Y92" s="22">
        <v>70832.08</v>
      </c>
      <c r="Z92" s="37">
        <f t="shared" ref="Z92" si="157">ROUND(Y92+(Y92/Y$102*Y$103),2)</f>
        <v>69660.33</v>
      </c>
      <c r="AA92" s="260"/>
      <c r="AB92" s="261">
        <f t="shared" si="25"/>
        <v>889008.90999999992</v>
      </c>
      <c r="AC92" s="37">
        <f t="shared" si="26"/>
        <v>903380.73999999987</v>
      </c>
    </row>
    <row r="93" spans="1:29" x14ac:dyDescent="0.2">
      <c r="A93" s="9" t="s">
        <v>58</v>
      </c>
      <c r="C93" s="70">
        <v>24509.22</v>
      </c>
      <c r="D93" s="37">
        <f t="shared" si="27"/>
        <v>24119.25</v>
      </c>
      <c r="E93" s="70">
        <v>19784.689999999999</v>
      </c>
      <c r="F93" s="37">
        <f t="shared" si="27"/>
        <v>19470.38</v>
      </c>
      <c r="G93" s="70">
        <v>78329.05</v>
      </c>
      <c r="H93" s="37">
        <f t="shared" ref="H93" si="158">ROUND(G93+(G93/G$102*G$103),2)</f>
        <v>77058.94</v>
      </c>
      <c r="I93" s="22">
        <v>20304.03</v>
      </c>
      <c r="J93" s="37">
        <f t="shared" ref="J93" si="159">ROUND(I93+(I93/I$102*I$103),2)</f>
        <v>19979.16</v>
      </c>
      <c r="K93" s="22">
        <v>81017.429999999993</v>
      </c>
      <c r="L93" s="37">
        <f t="shared" ref="L93" si="160">ROUND(K93+(K93/K$102*K$103),2)</f>
        <v>79754.05</v>
      </c>
      <c r="M93" s="22">
        <v>86841.11</v>
      </c>
      <c r="N93" s="37">
        <f t="shared" ref="N93" si="161">ROUND(M93+(M93/M$102*M$103),2)</f>
        <v>85471.75</v>
      </c>
      <c r="O93" s="307">
        <v>21267.119999999999</v>
      </c>
      <c r="P93" s="37">
        <f t="shared" ref="P93" si="162">ROUND(O93+(O93/O$102*O$103),2)</f>
        <v>20927.07</v>
      </c>
      <c r="Q93" s="22">
        <v>149980.88</v>
      </c>
      <c r="R93" s="37">
        <f t="shared" ref="R93" si="163">ROUND(Q93+(Q93/Q$102*Q$103),2)</f>
        <v>147642.34</v>
      </c>
      <c r="S93" s="22">
        <v>36433.54</v>
      </c>
      <c r="T93" s="37">
        <f t="shared" ref="T93" si="164">ROUND(S93+(S93/S$102*S$103),2)</f>
        <v>35857.71</v>
      </c>
      <c r="U93" s="22">
        <v>77396.56</v>
      </c>
      <c r="V93" s="37">
        <f t="shared" ref="V93" si="165">ROUND(U93+(U93/U$102*U$103),2)</f>
        <v>76195.05</v>
      </c>
      <c r="W93" s="22">
        <v>80710.62</v>
      </c>
      <c r="X93" s="37">
        <f t="shared" ref="X93" si="166">ROUND(W93+(W93/W$102*W$103),2)</f>
        <v>79406.720000000001</v>
      </c>
      <c r="Y93" s="22">
        <v>74445.97</v>
      </c>
      <c r="Z93" s="37">
        <f t="shared" ref="Z93" si="167">ROUND(Y93+(Y93/Y$102*Y$103),2)</f>
        <v>73214.429999999993</v>
      </c>
      <c r="AA93" s="260"/>
      <c r="AB93" s="261">
        <f t="shared" si="25"/>
        <v>739096.85000000009</v>
      </c>
      <c r="AC93" s="37">
        <f t="shared" si="26"/>
        <v>751020.21999999986</v>
      </c>
    </row>
    <row r="94" spans="1:29" x14ac:dyDescent="0.2">
      <c r="A94" s="9" t="s">
        <v>59</v>
      </c>
      <c r="C94" s="22">
        <v>407957.66</v>
      </c>
      <c r="D94" s="37">
        <f t="shared" si="27"/>
        <v>401466.53</v>
      </c>
      <c r="E94" s="70">
        <v>423226.04</v>
      </c>
      <c r="F94" s="37">
        <f t="shared" si="27"/>
        <v>416502.48</v>
      </c>
      <c r="G94" s="70">
        <v>371936.42</v>
      </c>
      <c r="H94" s="37">
        <f t="shared" ref="H94" si="168">ROUND(G94+(G94/G$102*G$103),2)</f>
        <v>365905.43</v>
      </c>
      <c r="I94" s="22">
        <v>405722.53</v>
      </c>
      <c r="J94" s="37">
        <f t="shared" ref="J94" si="169">ROUND(I94+(I94/I$102*I$103),2)</f>
        <v>399230.82</v>
      </c>
      <c r="K94" s="22">
        <v>409390.7</v>
      </c>
      <c r="L94" s="37">
        <f t="shared" ref="L94" si="170">ROUND(K94+(K94/K$102*K$103),2)</f>
        <v>403006.7</v>
      </c>
      <c r="M94" s="22">
        <v>342411.17</v>
      </c>
      <c r="N94" s="37">
        <f t="shared" ref="N94" si="171">ROUND(M94+(M94/M$102*M$103),2)</f>
        <v>337011.83</v>
      </c>
      <c r="O94" s="307">
        <v>393350.56</v>
      </c>
      <c r="P94" s="37">
        <f t="shared" ref="P94" si="172">ROUND(O94+(O94/O$102*O$103),2)</f>
        <v>387061.09</v>
      </c>
      <c r="Q94" s="22">
        <v>366940.99</v>
      </c>
      <c r="R94" s="37">
        <f t="shared" ref="R94" si="173">ROUND(Q94+(Q94/Q$102*Q$103),2)</f>
        <v>361219.55</v>
      </c>
      <c r="S94" s="22">
        <v>458904.95</v>
      </c>
      <c r="T94" s="37">
        <f t="shared" ref="T94" si="174">ROUND(S94+(S94/S$102*S$103),2)</f>
        <v>451651.93</v>
      </c>
      <c r="U94" s="22">
        <v>133770.70000000001</v>
      </c>
      <c r="V94" s="37">
        <f t="shared" ref="V94" si="175">ROUND(U94+(U94/U$102*U$103),2)</f>
        <v>131694.04</v>
      </c>
      <c r="W94" s="22">
        <v>394162.43</v>
      </c>
      <c r="X94" s="37">
        <f t="shared" ref="X94" si="176">ROUND(W94+(W94/W$102*W$103),2)</f>
        <v>387794.64</v>
      </c>
      <c r="Y94" s="22">
        <v>423706.64</v>
      </c>
      <c r="Z94" s="37">
        <f t="shared" ref="Z94" si="177">ROUND(Y94+(Y94/Y$102*Y$103),2)</f>
        <v>416697.4</v>
      </c>
      <c r="AA94" s="260"/>
      <c r="AB94" s="261">
        <f t="shared" si="25"/>
        <v>4459242.4400000004</v>
      </c>
      <c r="AC94" s="37">
        <f t="shared" si="26"/>
        <v>4531480.790000001</v>
      </c>
    </row>
    <row r="95" spans="1:29" x14ac:dyDescent="0.2">
      <c r="A95" s="9" t="s">
        <v>60</v>
      </c>
      <c r="C95" s="22">
        <v>30255</v>
      </c>
      <c r="D95" s="37">
        <f t="shared" si="27"/>
        <v>29773.599999999999</v>
      </c>
      <c r="E95" s="70">
        <v>70952.97</v>
      </c>
      <c r="F95" s="37">
        <f t="shared" si="27"/>
        <v>69825.78</v>
      </c>
      <c r="G95" s="70">
        <v>40612.74</v>
      </c>
      <c r="H95" s="37">
        <f t="shared" ref="H95" si="178">ROUND(G95+(G95/G$102*G$103),2)</f>
        <v>39954.199999999997</v>
      </c>
      <c r="I95" s="22">
        <v>40998.129999999997</v>
      </c>
      <c r="J95" s="37">
        <f t="shared" ref="J95" si="179">ROUND(I95+(I95/I$102*I$103),2)</f>
        <v>40342.14</v>
      </c>
      <c r="K95" s="22">
        <v>73995.710000000006</v>
      </c>
      <c r="L95" s="37">
        <f t="shared" ref="L95" si="180">ROUND(K95+(K95/K$102*K$103),2)</f>
        <v>72841.83</v>
      </c>
      <c r="M95" s="22">
        <v>31030.21</v>
      </c>
      <c r="N95" s="37">
        <f t="shared" ref="N95" si="181">ROUND(M95+(M95/M$102*M$103),2)</f>
        <v>30540.91</v>
      </c>
      <c r="O95" s="307">
        <v>59444.11</v>
      </c>
      <c r="P95" s="37">
        <f t="shared" ref="P95" si="182">ROUND(O95+(O95/O$102*O$103),2)</f>
        <v>58493.63</v>
      </c>
      <c r="Q95" s="22">
        <v>72188.740000000005</v>
      </c>
      <c r="R95" s="37">
        <f t="shared" ref="R95" si="183">ROUND(Q95+(Q95/Q$102*Q$103),2)</f>
        <v>71063.149999999994</v>
      </c>
      <c r="S95" s="22">
        <v>36623.910000000003</v>
      </c>
      <c r="T95" s="37">
        <f t="shared" ref="T95" si="184">ROUND(S95+(S95/S$102*S$103),2)</f>
        <v>36045.07</v>
      </c>
      <c r="U95" s="22">
        <v>42280.17</v>
      </c>
      <c r="V95" s="37">
        <f t="shared" ref="V95" si="185">ROUND(U95+(U95/U$102*U$103),2)</f>
        <v>41623.81</v>
      </c>
      <c r="W95" s="22">
        <v>58919.32</v>
      </c>
      <c r="X95" s="37">
        <f t="shared" ref="X95" si="186">ROUND(W95+(W95/W$102*W$103),2)</f>
        <v>57967.46</v>
      </c>
      <c r="Y95" s="22">
        <v>56779.68</v>
      </c>
      <c r="Z95" s="37">
        <f t="shared" ref="Z95" si="187">ROUND(Y95+(Y95/Y$102*Y$103),2)</f>
        <v>55840.39</v>
      </c>
      <c r="AA95" s="260"/>
      <c r="AB95" s="261">
        <f t="shared" si="25"/>
        <v>604311.97</v>
      </c>
      <c r="AC95" s="37">
        <f t="shared" si="26"/>
        <v>614080.69000000006</v>
      </c>
    </row>
    <row r="96" spans="1:29" x14ac:dyDescent="0.2">
      <c r="A96" s="9" t="s">
        <v>61</v>
      </c>
      <c r="C96" s="22">
        <v>985827.18</v>
      </c>
      <c r="D96" s="37">
        <f t="shared" si="27"/>
        <v>970141.4</v>
      </c>
      <c r="E96" s="70">
        <v>1014530.53</v>
      </c>
      <c r="F96" s="37">
        <f t="shared" si="27"/>
        <v>998413.23</v>
      </c>
      <c r="G96" s="70">
        <v>1338692.3700000001</v>
      </c>
      <c r="H96" s="37">
        <f t="shared" ref="H96" si="188">ROUND(G96+(G96/G$102*G$103),2)</f>
        <v>1316985.3400000001</v>
      </c>
      <c r="I96" s="22">
        <v>1264934.26</v>
      </c>
      <c r="J96" s="37">
        <f t="shared" ref="J96" si="189">ROUND(I96+(I96/I$102*I$103),2)</f>
        <v>1244694.8500000001</v>
      </c>
      <c r="K96" s="22">
        <v>1216424.53</v>
      </c>
      <c r="L96" s="37">
        <f t="shared" ref="L96" si="190">ROUND(K96+(K96/K$102*K$103),2)</f>
        <v>1197455.72</v>
      </c>
      <c r="M96" s="22">
        <v>1161558.77</v>
      </c>
      <c r="N96" s="37">
        <f t="shared" ref="N96" si="191">ROUND(M96+(M96/M$102*M$103),2)</f>
        <v>1143242.6299999999</v>
      </c>
      <c r="O96" s="307">
        <v>818154.21</v>
      </c>
      <c r="P96" s="37">
        <f t="shared" ref="P96" si="192">ROUND(O96+(O96/O$102*O$103),2)</f>
        <v>805072.35</v>
      </c>
      <c r="Q96" s="22">
        <v>1037621.88</v>
      </c>
      <c r="R96" s="37">
        <f t="shared" ref="R96" si="193">ROUND(Q96+(Q96/Q$102*Q$103),2)</f>
        <v>1021443.02</v>
      </c>
      <c r="S96" s="22">
        <v>782249.85</v>
      </c>
      <c r="T96" s="37">
        <f t="shared" ref="T96" si="194">ROUND(S96+(S96/S$102*S$103),2)</f>
        <v>769886.34</v>
      </c>
      <c r="U96" s="22">
        <v>906829.03</v>
      </c>
      <c r="V96" s="37">
        <f t="shared" ref="V96" si="195">ROUND(U96+(U96/U$102*U$103),2)</f>
        <v>892751.4</v>
      </c>
      <c r="W96" s="22">
        <v>994854.52</v>
      </c>
      <c r="X96" s="37">
        <f t="shared" ref="X96" si="196">ROUND(W96+(W96/W$102*W$103),2)</f>
        <v>978782.41</v>
      </c>
      <c r="Y96" s="22">
        <v>1051777.1599999999</v>
      </c>
      <c r="Z96" s="37">
        <f t="shared" ref="Z96" si="197">ROUND(Y96+(Y96/Y$102*Y$103),2)</f>
        <v>1034377.95</v>
      </c>
      <c r="AA96" s="260"/>
      <c r="AB96" s="261">
        <f t="shared" si="25"/>
        <v>12373246.639999999</v>
      </c>
      <c r="AC96" s="37">
        <f t="shared" si="26"/>
        <v>12573454.289999999</v>
      </c>
    </row>
    <row r="97" spans="1:29" x14ac:dyDescent="0.2">
      <c r="A97" s="9" t="s">
        <v>65</v>
      </c>
      <c r="C97" s="22">
        <v>786381.48</v>
      </c>
      <c r="D97" s="37">
        <f t="shared" si="27"/>
        <v>773869.14</v>
      </c>
      <c r="E97" s="70">
        <v>906306.96</v>
      </c>
      <c r="F97" s="37">
        <f t="shared" si="27"/>
        <v>891908.95</v>
      </c>
      <c r="G97" s="261">
        <v>959454.52</v>
      </c>
      <c r="H97" s="37">
        <f t="shared" ref="H97" si="198">ROUND(G97+(G97/G$102*G$103),2)</f>
        <v>943896.87</v>
      </c>
      <c r="I97" s="22">
        <v>740527.1</v>
      </c>
      <c r="J97" s="37">
        <f t="shared" ref="J97" si="199">ROUND(I97+(I97/I$102*I$103),2)</f>
        <v>728678.40000000002</v>
      </c>
      <c r="K97" s="22">
        <v>802520.76</v>
      </c>
      <c r="L97" s="37">
        <f t="shared" ref="L97" si="200">ROUND(K97+(K97/K$102*K$103),2)</f>
        <v>790006.33</v>
      </c>
      <c r="M97" s="22">
        <v>785740.7</v>
      </c>
      <c r="N97" s="37">
        <f t="shared" ref="N97" si="201">ROUND(M97+(M97/M$102*M$103),2)</f>
        <v>773350.68</v>
      </c>
      <c r="O97" s="307">
        <v>758139.42</v>
      </c>
      <c r="P97" s="37">
        <f t="shared" ref="P97" si="202">ROUND(O97+(O97/O$102*O$103),2)</f>
        <v>746017.17</v>
      </c>
      <c r="Q97" s="22">
        <v>836247.7</v>
      </c>
      <c r="R97" s="37">
        <f t="shared" ref="R97" si="203">ROUND(Q97+(Q97/Q$102*Q$103),2)</f>
        <v>823208.71</v>
      </c>
      <c r="S97" s="22">
        <v>723826.18</v>
      </c>
      <c r="T97" s="37">
        <f t="shared" ref="T97" si="204">ROUND(S97+(S97/S$102*S$103),2)</f>
        <v>712386.06</v>
      </c>
      <c r="U97" s="22">
        <v>834602.15</v>
      </c>
      <c r="V97" s="37">
        <f t="shared" ref="V97" si="205">ROUND(U97+(U97/U$102*U$103),2)</f>
        <v>821645.77</v>
      </c>
      <c r="W97" s="22">
        <v>812522.43</v>
      </c>
      <c r="X97" s="37">
        <f t="shared" ref="X97" si="206">ROUND(W97+(W97/W$102*W$103),2)</f>
        <v>799395.94</v>
      </c>
      <c r="Y97" s="22">
        <v>759167.82</v>
      </c>
      <c r="Z97" s="37">
        <f t="shared" ref="Z97" si="207">ROUND(Y97+(Y97/Y$102*Y$103),2)</f>
        <v>746609.15</v>
      </c>
      <c r="AA97" s="260"/>
      <c r="AB97" s="261">
        <f t="shared" si="25"/>
        <v>9550973.1699999999</v>
      </c>
      <c r="AC97" s="37">
        <f t="shared" si="26"/>
        <v>9705437.2200000007</v>
      </c>
    </row>
    <row r="98" spans="1:29" x14ac:dyDescent="0.2">
      <c r="A98" s="9" t="s">
        <v>62</v>
      </c>
      <c r="C98" s="22">
        <v>0</v>
      </c>
      <c r="D98" s="37">
        <f t="shared" si="27"/>
        <v>0</v>
      </c>
      <c r="E98" s="37">
        <v>0</v>
      </c>
      <c r="F98" s="37">
        <f t="shared" si="27"/>
        <v>0</v>
      </c>
      <c r="H98" s="37">
        <f t="shared" ref="H98" si="208">ROUND(G98+(G98/G$102*G$103),2)</f>
        <v>0</v>
      </c>
      <c r="I98" s="22">
        <v>0</v>
      </c>
      <c r="J98" s="37">
        <f t="shared" ref="J98" si="209">ROUND(I98+(I98/I$102*I$103),2)</f>
        <v>0</v>
      </c>
      <c r="K98" s="22">
        <v>0</v>
      </c>
      <c r="L98" s="37">
        <f t="shared" ref="L98" si="210">ROUND(K98+(K98/K$102*K$103),2)</f>
        <v>0</v>
      </c>
      <c r="M98" s="37">
        <v>0</v>
      </c>
      <c r="N98" s="37">
        <f t="shared" ref="N98" si="211">ROUND(M98+(M98/M$102*M$103),2)</f>
        <v>0</v>
      </c>
      <c r="O98" s="307">
        <v>0</v>
      </c>
      <c r="P98" s="37">
        <f t="shared" ref="P98" si="212">ROUND(O98+(O98/O$102*O$103),2)</f>
        <v>0</v>
      </c>
      <c r="Q98" s="22">
        <v>0</v>
      </c>
      <c r="R98" s="37">
        <f t="shared" ref="R98" si="213">ROUND(Q98+(Q98/Q$102*Q$103),2)</f>
        <v>0</v>
      </c>
      <c r="S98" s="37">
        <v>0</v>
      </c>
      <c r="T98" s="37">
        <f t="shared" ref="T98" si="214">ROUND(S98+(S98/S$102*S$103),2)</f>
        <v>0</v>
      </c>
      <c r="U98" s="22">
        <v>0</v>
      </c>
      <c r="V98" s="37">
        <f t="shared" ref="V98" si="215">ROUND(U98+(U98/U$102*U$103),2)</f>
        <v>0</v>
      </c>
      <c r="W98" s="22">
        <v>0</v>
      </c>
      <c r="X98" s="37">
        <f t="shared" ref="X98" si="216">ROUND(W98+(W98/W$102*W$103),2)</f>
        <v>0</v>
      </c>
      <c r="Y98" s="22">
        <v>0</v>
      </c>
      <c r="Z98" s="37">
        <f t="shared" ref="Z98" si="217">ROUND(Y98+(Y98/Y$102*Y$103),2)</f>
        <v>0</v>
      </c>
      <c r="AA98" s="260"/>
      <c r="AB98" s="261">
        <f t="shared" si="25"/>
        <v>0</v>
      </c>
      <c r="AC98" s="37">
        <f t="shared" si="26"/>
        <v>0</v>
      </c>
    </row>
    <row r="99" spans="1:29" x14ac:dyDescent="0.2">
      <c r="A99" s="9" t="s">
        <v>93</v>
      </c>
      <c r="C99" s="70">
        <f>34721.91+4730.03</f>
        <v>39451.94</v>
      </c>
      <c r="D99" s="37">
        <f>ROUND(C99+(C99/C$102*C$103),2)-0.02</f>
        <v>38824.19</v>
      </c>
      <c r="E99" s="70">
        <f>86743.94+10518.79</f>
        <v>97262.73000000001</v>
      </c>
      <c r="F99" s="37">
        <f>ROUND(E99+(E99/E$102*E$103),2)+0.01</f>
        <v>95717.58</v>
      </c>
      <c r="G99" s="37">
        <f>151429.07+10270.15</f>
        <v>161699.22</v>
      </c>
      <c r="H99" s="37">
        <f>ROUND(G99+(G99/G$102*G$103),2)-0.01</f>
        <v>159077.24</v>
      </c>
      <c r="I99" s="22">
        <f>113348.98+4626</f>
        <v>117974.98</v>
      </c>
      <c r="J99" s="37">
        <f>ROUND(I99+(I99/I$102*I$103),2)-0.02</f>
        <v>116087.31999999999</v>
      </c>
      <c r="K99" s="22">
        <f>92659.59+5281.98</f>
        <v>97941.569999999992</v>
      </c>
      <c r="L99" s="37">
        <f>ROUND(K99+(K99/K$102*K$103),2)+0.02</f>
        <v>96414.3</v>
      </c>
      <c r="M99" s="22">
        <f>73441.36+4829.08</f>
        <v>78270.44</v>
      </c>
      <c r="N99" s="37">
        <f>ROUND(M99+(M99/M$102*M$103),2)</f>
        <v>77036.23</v>
      </c>
      <c r="O99" s="307">
        <f>63672.51+11875.76</f>
        <v>75548.27</v>
      </c>
      <c r="P99" s="37">
        <f>ROUND(O99+(O99/O$102*O$103),2)</f>
        <v>74340.289999999994</v>
      </c>
      <c r="Q99" s="22">
        <f>144003.71+4446.04</f>
        <v>148449.75</v>
      </c>
      <c r="R99" s="37">
        <f>ROUND(Q99+(Q99/Q$102*Q$103),2)+0.01</f>
        <v>146135.09</v>
      </c>
      <c r="S99" s="22">
        <f>84677.31+12295</f>
        <v>96972.31</v>
      </c>
      <c r="T99" s="37">
        <f>ROUND(S99+(S99/S$102*S$103),2)-0.01</f>
        <v>95439.650000000009</v>
      </c>
      <c r="U99" s="22">
        <f>77843.47+6044.87</f>
        <v>83888.34</v>
      </c>
      <c r="V99" s="37">
        <f>ROUND(U99+(U99/U$102*U$103),2)-0.01</f>
        <v>82586.05</v>
      </c>
      <c r="W99" s="70">
        <f>87704.81+270448.09</f>
        <v>358152.9</v>
      </c>
      <c r="X99" s="37">
        <f>ROUND(W99+(W99/W$102*W$103),2)-0.02</f>
        <v>352366.82999999996</v>
      </c>
      <c r="Y99" s="22">
        <f>39041.71+5918.87</f>
        <v>44960.58</v>
      </c>
      <c r="Z99" s="37">
        <f>ROUND(Y99+(Y99/Y$102*Y$103),2)-0.01</f>
        <v>44216.799999999996</v>
      </c>
      <c r="AA99" s="260"/>
      <c r="AB99" s="261">
        <f t="shared" si="25"/>
        <v>1378241.57</v>
      </c>
      <c r="AC99" s="37">
        <f t="shared" si="26"/>
        <v>1400573.03</v>
      </c>
    </row>
    <row r="100" spans="1:29" x14ac:dyDescent="0.2">
      <c r="A100" s="9" t="s">
        <v>67</v>
      </c>
      <c r="C100" s="22">
        <f>594872.29+199899.96</f>
        <v>794772.25</v>
      </c>
      <c r="D100" s="37">
        <f t="shared" si="27"/>
        <v>782126.4</v>
      </c>
      <c r="E100" s="70">
        <f>647328.19+223499.43</f>
        <v>870827.61999999988</v>
      </c>
      <c r="F100" s="37">
        <f t="shared" si="27"/>
        <v>856993.25</v>
      </c>
      <c r="G100" s="70">
        <f>846708.99+302756.59</f>
        <v>1149465.58</v>
      </c>
      <c r="H100" s="37">
        <f t="shared" ref="H100" si="218">ROUND(G100+(G100/G$102*G$103),2)</f>
        <v>1130826.8799999999</v>
      </c>
      <c r="I100" s="22">
        <f>681311.82+271235.84</f>
        <v>952547.65999999992</v>
      </c>
      <c r="J100" s="37">
        <f t="shared" ref="J100" si="219">ROUND(I100+(I100/I$102*I$103),2)</f>
        <v>937306.55</v>
      </c>
      <c r="K100" s="22">
        <f>566321.46+214146.72</f>
        <v>780468.17999999993</v>
      </c>
      <c r="L100" s="37">
        <f t="shared" ref="L100" si="220">ROUND(K100+(K100/K$102*K$103),2)</f>
        <v>768297.63</v>
      </c>
      <c r="M100" s="22">
        <f>568356.54+250527.97</f>
        <v>818884.51</v>
      </c>
      <c r="N100" s="37">
        <f t="shared" ref="N100" si="221">ROUND(M100+(M100/M$102*M$103),2)</f>
        <v>805971.86</v>
      </c>
      <c r="O100" s="307">
        <v>845979.52</v>
      </c>
      <c r="P100" s="37">
        <f t="shared" ref="P100" si="222">ROUND(O100+(O100/O$102*O$103),2)</f>
        <v>832452.75</v>
      </c>
      <c r="Q100" s="22">
        <f>637089.72+225555.57</f>
        <v>862645.29</v>
      </c>
      <c r="R100" s="37">
        <f t="shared" ref="R100" si="223">ROUND(Q100+(Q100/Q$102*Q$103),2)</f>
        <v>849194.71</v>
      </c>
      <c r="S100" s="22">
        <f>504985.97+197710.15</f>
        <v>702696.12</v>
      </c>
      <c r="T100" s="37">
        <f t="shared" ref="T100" si="224">ROUND(S100+(S100/S$102*S$103),2)</f>
        <v>691589.96</v>
      </c>
      <c r="U100" s="22">
        <f>404989.27+180050.88</f>
        <v>585040.15</v>
      </c>
      <c r="V100" s="37">
        <f t="shared" ref="V100" si="225">ROUND(U100+(U100/U$102*U$103),2)</f>
        <v>575957.98</v>
      </c>
      <c r="W100" s="22">
        <f>784371.68+208442.79</f>
        <v>992814.47000000009</v>
      </c>
      <c r="X100" s="37">
        <f t="shared" ref="X100" si="226">ROUND(W100+(W100/W$102*W$103),2)</f>
        <v>976775.31</v>
      </c>
      <c r="Y100" s="22">
        <f>1038731.05+200314.97</f>
        <v>1239046.02</v>
      </c>
      <c r="Z100" s="37">
        <f t="shared" ref="Z100" si="227">ROUND(Y100+(Y100/Y$102*Y$103),2)</f>
        <v>1218548.8799999999</v>
      </c>
      <c r="AA100" s="260"/>
      <c r="AB100" s="261">
        <f t="shared" si="25"/>
        <v>10426042.16</v>
      </c>
      <c r="AC100" s="37">
        <f t="shared" si="26"/>
        <v>10595187.370000001</v>
      </c>
    </row>
    <row r="101" spans="1:29" x14ac:dyDescent="0.2">
      <c r="A101" s="9" t="s">
        <v>97</v>
      </c>
      <c r="C101" s="115">
        <v>30551.38</v>
      </c>
      <c r="D101" s="37">
        <f t="shared" si="27"/>
        <v>30065.27</v>
      </c>
      <c r="E101" s="71">
        <v>33953.32</v>
      </c>
      <c r="F101" s="37">
        <f t="shared" si="27"/>
        <v>33413.919999999998</v>
      </c>
      <c r="G101" s="71">
        <v>37451.269999999997</v>
      </c>
      <c r="H101" s="37">
        <f t="shared" ref="H101" si="228">ROUND(G101+(G101/G$102*G$103),2)</f>
        <v>36843.99</v>
      </c>
      <c r="I101" s="22">
        <v>35148.32</v>
      </c>
      <c r="J101" s="37">
        <f t="shared" ref="J101" si="229">ROUND(I101+(I101/I$102*I$103),2)</f>
        <v>34585.93</v>
      </c>
      <c r="K101" s="22">
        <v>36433.49</v>
      </c>
      <c r="L101" s="37">
        <f t="shared" ref="L101" si="230">ROUND(K101+(K101/K$102*K$103),2)</f>
        <v>35865.35</v>
      </c>
      <c r="M101" s="22">
        <v>34461.660000000003</v>
      </c>
      <c r="N101" s="37">
        <f t="shared" ref="N101" si="231">ROUND(M101+(M101/M$102*M$103),2)</f>
        <v>33918.25</v>
      </c>
      <c r="O101" s="307">
        <v>45020.89</v>
      </c>
      <c r="P101" s="37">
        <f t="shared" ref="P101" si="232">ROUND(O101+(O101/O$102*O$103),2)</f>
        <v>44301.03</v>
      </c>
      <c r="Q101" s="22">
        <v>57990.21</v>
      </c>
      <c r="R101" s="37">
        <f t="shared" ref="R101" si="233">ROUND(Q101+(Q101/Q$102*Q$103),2)</f>
        <v>57086.01</v>
      </c>
      <c r="S101" s="107">
        <v>41117.07</v>
      </c>
      <c r="T101" s="37">
        <f t="shared" ref="T101" si="234">ROUND(S101+(S101/S$102*S$103),2)</f>
        <v>40467.21</v>
      </c>
      <c r="U101" s="22">
        <v>40970.589999999997</v>
      </c>
      <c r="V101" s="37">
        <f t="shared" ref="V101" si="235">ROUND(U101+(U101/U$102*U$103),2)</f>
        <v>40334.559999999998</v>
      </c>
      <c r="W101" s="107">
        <v>47834.61</v>
      </c>
      <c r="X101" s="37">
        <f t="shared" ref="X101" si="236">ROUND(W101+(W101/W$102*W$103),2)</f>
        <v>47061.83</v>
      </c>
      <c r="Y101" s="22">
        <v>49340.77</v>
      </c>
      <c r="Z101" s="37">
        <f t="shared" ref="Z101" si="237">ROUND(Y101+(Y101/Y$102*Y$103),2)</f>
        <v>48524.54</v>
      </c>
      <c r="AA101" s="260"/>
      <c r="AB101" s="261">
        <f t="shared" si="25"/>
        <v>482467.89</v>
      </c>
      <c r="AC101" s="262">
        <f t="shared" si="26"/>
        <v>490273.58000000007</v>
      </c>
    </row>
    <row r="102" spans="1:29" x14ac:dyDescent="0.2">
      <c r="A102" s="263" t="s">
        <v>44</v>
      </c>
      <c r="C102" s="34">
        <f>SUM(C79:C101)</f>
        <v>7511226.0999999996</v>
      </c>
      <c r="D102" s="34">
        <f>SUM(D79:D101)</f>
        <v>7391712.8200000003</v>
      </c>
      <c r="E102" s="34">
        <f t="shared" ref="E102:K102" si="238">+SUM(E79:E101)</f>
        <v>8330377.9600000018</v>
      </c>
      <c r="F102" s="34">
        <f>SUM(F79:F101)</f>
        <v>8198037.7400000012</v>
      </c>
      <c r="G102" s="34">
        <f t="shared" si="238"/>
        <v>9373559.1799999997</v>
      </c>
      <c r="H102" s="34">
        <f>SUM(H79:H101)</f>
        <v>9221565.959999999</v>
      </c>
      <c r="I102" s="34">
        <f t="shared" si="238"/>
        <v>8640838.5599999987</v>
      </c>
      <c r="J102" s="34">
        <f>SUM(J79:J101)</f>
        <v>8502581.9900000021</v>
      </c>
      <c r="K102" s="34">
        <f t="shared" si="238"/>
        <v>8769538.9200000018</v>
      </c>
      <c r="L102" s="34">
        <f>SUM(L79:L101)</f>
        <v>8632787.5599999987</v>
      </c>
      <c r="M102" s="72">
        <f>SUM(M79:M101)</f>
        <v>8378204.5500000007</v>
      </c>
      <c r="N102" s="34">
        <f>SUM(N79:N101)</f>
        <v>8246092.1400000006</v>
      </c>
      <c r="O102" s="308">
        <f>SUM(O79:O101)</f>
        <v>7632235.7799999984</v>
      </c>
      <c r="P102" s="34">
        <f>SUM(P79:P101)</f>
        <v>7510200.3199999994</v>
      </c>
      <c r="Q102" s="72">
        <f t="shared" ref="Q102:U102" si="239">SUM(Q79:Q101)</f>
        <v>9638511.8000000007</v>
      </c>
      <c r="R102" s="34">
        <f>SUM(R79:R101)</f>
        <v>9488225.6699999999</v>
      </c>
      <c r="S102" s="72">
        <f t="shared" si="239"/>
        <v>6942826.7899999991</v>
      </c>
      <c r="T102" s="34">
        <f>SUM(T79:T101)</f>
        <v>6833094.9500000011</v>
      </c>
      <c r="U102" s="72">
        <f t="shared" si="239"/>
        <v>6809843.8800000008</v>
      </c>
      <c r="V102" s="34">
        <f>SUM(V79:V101)</f>
        <v>6704127.7299999977</v>
      </c>
      <c r="W102" s="72">
        <f>SUM(W79:W101)</f>
        <v>8273522.6400000006</v>
      </c>
      <c r="X102" s="34">
        <f>SUM(X79:X101)</f>
        <v>8139861.8800000008</v>
      </c>
      <c r="Y102" s="72">
        <f t="shared" ref="Y102" si="240">SUM(Y79:Y101)</f>
        <v>8692373.0299999993</v>
      </c>
      <c r="Z102" s="34">
        <f>SUM(Z79:Z101)</f>
        <v>8548577.879999999</v>
      </c>
      <c r="AA102" s="260"/>
      <c r="AB102" s="261">
        <f>SUM(AB79:AB101)</f>
        <v>97416866.639999986</v>
      </c>
      <c r="AC102" s="261">
        <f>SUM(AC79:AC101)</f>
        <v>98993059.190000013</v>
      </c>
    </row>
    <row r="103" spans="1:29" x14ac:dyDescent="0.2">
      <c r="A103" s="264" t="s">
        <v>45</v>
      </c>
      <c r="B103" s="36"/>
      <c r="C103" s="35">
        <v>-119513.28</v>
      </c>
      <c r="D103" s="36"/>
      <c r="E103" s="73">
        <v>-132340.22</v>
      </c>
      <c r="F103" s="74"/>
      <c r="G103" s="73">
        <v>-151993.22</v>
      </c>
      <c r="H103" s="74"/>
      <c r="I103" s="35">
        <v>-138256.57</v>
      </c>
      <c r="J103" s="36"/>
      <c r="K103" s="35">
        <v>-136751.35999999999</v>
      </c>
      <c r="L103" s="36"/>
      <c r="M103" s="35">
        <v>-132112.41</v>
      </c>
      <c r="N103" s="36"/>
      <c r="O103" s="309">
        <v>-122035.46</v>
      </c>
      <c r="P103" s="36"/>
      <c r="Q103" s="35">
        <v>-150286.13</v>
      </c>
      <c r="R103" s="36"/>
      <c r="S103" s="35">
        <v>-109731.84</v>
      </c>
      <c r="T103" s="36"/>
      <c r="U103" s="35">
        <v>-105716.15</v>
      </c>
      <c r="V103" s="36"/>
      <c r="W103" s="35">
        <v>-133660.74</v>
      </c>
      <c r="X103" s="36"/>
      <c r="Y103" s="35">
        <v>-143795.15</v>
      </c>
      <c r="Z103" s="36"/>
      <c r="AA103" s="36"/>
      <c r="AB103" s="261"/>
      <c r="AC103" s="262">
        <f>+C103+E103+G103+I103+K103+M103+O103+Q103+S103+U103+W103+Y103</f>
        <v>-1576192.5299999998</v>
      </c>
    </row>
    <row r="104" spans="1:29" x14ac:dyDescent="0.2">
      <c r="A104" s="263" t="s">
        <v>27</v>
      </c>
      <c r="C104" s="22">
        <f>+C102+C103</f>
        <v>7391712.8199999994</v>
      </c>
      <c r="D104" s="22"/>
      <c r="E104" s="22">
        <f>E102+E103</f>
        <v>8198037.7400000021</v>
      </c>
      <c r="F104" s="70"/>
      <c r="G104" s="22">
        <f>+G102+G103</f>
        <v>9221565.959999999</v>
      </c>
      <c r="H104" s="70"/>
      <c r="I104" s="22">
        <f>+I102+I103</f>
        <v>8502581.9899999984</v>
      </c>
      <c r="J104" s="22"/>
      <c r="K104" s="22">
        <f>+K102+K103</f>
        <v>8632787.5600000024</v>
      </c>
      <c r="L104" s="22"/>
      <c r="M104" s="22">
        <f>+M102+M103</f>
        <v>8246092.1400000006</v>
      </c>
      <c r="N104" s="22"/>
      <c r="O104" s="310">
        <f>+O102+O103</f>
        <v>7510200.3199999984</v>
      </c>
      <c r="P104" s="22"/>
      <c r="Q104" s="22">
        <f>+Q102+Q103</f>
        <v>9488225.6699999999</v>
      </c>
      <c r="R104" s="22"/>
      <c r="S104" s="22">
        <f>+S102+S103</f>
        <v>6833094.9499999993</v>
      </c>
      <c r="T104" s="22"/>
      <c r="U104" s="22">
        <f>+U102+U103</f>
        <v>6704127.7300000004</v>
      </c>
      <c r="V104" s="22"/>
      <c r="W104" s="22">
        <f>+W102+W103</f>
        <v>8139861.9000000004</v>
      </c>
      <c r="X104" s="22"/>
      <c r="Y104" s="22">
        <f>+Y102+Y103</f>
        <v>8548577.879999999</v>
      </c>
      <c r="Z104" s="22"/>
      <c r="AC104" s="265">
        <f>SUM(AC102:AC103)</f>
        <v>97416866.660000011</v>
      </c>
    </row>
    <row r="105" spans="1:29" x14ac:dyDescent="0.2">
      <c r="A105" s="266" t="s">
        <v>130</v>
      </c>
      <c r="C105" s="107">
        <v>7391712.8200000003</v>
      </c>
      <c r="D105" s="22"/>
      <c r="E105" s="212">
        <v>8198037.7400000002</v>
      </c>
      <c r="F105" s="40"/>
      <c r="G105" s="212">
        <v>9221565.9600000009</v>
      </c>
      <c r="H105" s="40"/>
      <c r="I105" s="262">
        <v>8502581.9900000002</v>
      </c>
      <c r="K105" s="262">
        <v>8632787.5600000005</v>
      </c>
      <c r="M105" s="37">
        <v>8246092.1399999997</v>
      </c>
      <c r="O105" s="311">
        <v>7510200.3200000003</v>
      </c>
      <c r="Q105" s="37">
        <v>9488225.6699999999</v>
      </c>
      <c r="S105" s="37">
        <v>6833094.9500000002</v>
      </c>
      <c r="U105" s="37">
        <v>6704127.7300000004</v>
      </c>
      <c r="W105" s="37">
        <v>8139861.9000000004</v>
      </c>
      <c r="Y105" s="37">
        <v>8548577.8800000008</v>
      </c>
    </row>
    <row r="106" spans="1:29" x14ac:dyDescent="0.2">
      <c r="A106" s="266" t="s">
        <v>21</v>
      </c>
      <c r="C106" s="22">
        <f>+C104-C105</f>
        <v>0</v>
      </c>
      <c r="D106" s="22"/>
      <c r="E106" s="22">
        <f>E104-E105</f>
        <v>0</v>
      </c>
      <c r="F106" s="40"/>
      <c r="G106" s="22">
        <f>+G104-G105</f>
        <v>0</v>
      </c>
      <c r="H106" s="40"/>
      <c r="I106" s="22">
        <f>+I104-I105</f>
        <v>0</v>
      </c>
      <c r="K106" s="37">
        <f>+K104-K105</f>
        <v>0</v>
      </c>
      <c r="M106" s="37">
        <f>+M104-M105</f>
        <v>0</v>
      </c>
      <c r="O106" s="37">
        <f>+O104-O105</f>
        <v>0</v>
      </c>
      <c r="Q106" s="37">
        <f>+Q104-Q105</f>
        <v>0</v>
      </c>
      <c r="S106" s="37">
        <f>+S104-S105</f>
        <v>0</v>
      </c>
      <c r="U106" s="37">
        <f>+U104-U105</f>
        <v>0</v>
      </c>
      <c r="W106" s="37">
        <f>+W104-W105</f>
        <v>0</v>
      </c>
      <c r="Y106" s="37">
        <f>+Y104-Y105</f>
        <v>0</v>
      </c>
      <c r="Z106" s="37">
        <f>+Z102-Y105</f>
        <v>0</v>
      </c>
    </row>
    <row r="107" spans="1:29" ht="15" x14ac:dyDescent="0.2">
      <c r="A107" s="9" t="s">
        <v>92</v>
      </c>
      <c r="B107" s="60"/>
      <c r="E107" s="47"/>
      <c r="F107" s="47"/>
      <c r="G107" s="47"/>
    </row>
    <row r="108" spans="1:29" ht="15" x14ac:dyDescent="0.2">
      <c r="B108" s="60"/>
      <c r="E108" s="47"/>
      <c r="F108" s="47"/>
      <c r="G108" s="47"/>
    </row>
    <row r="109" spans="1:29" ht="15" x14ac:dyDescent="0.2">
      <c r="B109" s="60"/>
      <c r="E109" s="47"/>
      <c r="F109" s="47"/>
      <c r="G109" s="47"/>
    </row>
    <row r="110" spans="1:29" ht="15" x14ac:dyDescent="0.2">
      <c r="A110" s="9" t="s">
        <v>0</v>
      </c>
      <c r="E110" s="47"/>
      <c r="F110" s="47"/>
      <c r="G110" s="47"/>
    </row>
    <row r="111" spans="1:29" ht="15" x14ac:dyDescent="0.2">
      <c r="A111" s="9" t="s">
        <v>83</v>
      </c>
      <c r="E111" s="47"/>
      <c r="F111" s="47"/>
      <c r="G111" s="47"/>
    </row>
    <row r="112" spans="1:29" ht="15" x14ac:dyDescent="0.2">
      <c r="A112" s="20" t="s">
        <v>150</v>
      </c>
      <c r="N112" s="9"/>
      <c r="O112" s="47"/>
      <c r="P112" s="47"/>
      <c r="Q112" s="20"/>
    </row>
    <row r="113" spans="1:29" x14ac:dyDescent="0.2">
      <c r="A113" s="259"/>
      <c r="B113" s="259"/>
      <c r="C113" s="38" t="s">
        <v>28</v>
      </c>
      <c r="D113" s="38" t="s">
        <v>29</v>
      </c>
      <c r="E113" s="38" t="s">
        <v>28</v>
      </c>
      <c r="F113" s="38" t="s">
        <v>29</v>
      </c>
      <c r="G113" s="38" t="s">
        <v>28</v>
      </c>
      <c r="H113" s="38" t="s">
        <v>29</v>
      </c>
      <c r="I113" s="38" t="s">
        <v>28</v>
      </c>
      <c r="J113" s="38" t="s">
        <v>29</v>
      </c>
      <c r="K113" s="38" t="s">
        <v>28</v>
      </c>
      <c r="L113" s="38" t="s">
        <v>29</v>
      </c>
      <c r="M113" s="38" t="s">
        <v>28</v>
      </c>
      <c r="N113" s="38" t="s">
        <v>29</v>
      </c>
      <c r="O113" s="38" t="s">
        <v>28</v>
      </c>
      <c r="P113" s="38" t="s">
        <v>29</v>
      </c>
      <c r="Q113" s="38" t="s">
        <v>28</v>
      </c>
      <c r="R113" s="38" t="s">
        <v>29</v>
      </c>
      <c r="S113" s="38" t="s">
        <v>28</v>
      </c>
      <c r="T113" s="38" t="s">
        <v>29</v>
      </c>
      <c r="U113" s="38" t="s">
        <v>28</v>
      </c>
      <c r="V113" s="38" t="s">
        <v>29</v>
      </c>
      <c r="W113" s="38" t="s">
        <v>28</v>
      </c>
      <c r="X113" s="38" t="s">
        <v>29</v>
      </c>
      <c r="Y113" s="38" t="s">
        <v>28</v>
      </c>
      <c r="Z113" s="38" t="s">
        <v>29</v>
      </c>
      <c r="AA113" s="38"/>
      <c r="AB113" s="38"/>
    </row>
    <row r="114" spans="1:29" x14ac:dyDescent="0.2">
      <c r="A114" s="9" t="s">
        <v>30</v>
      </c>
      <c r="C114" s="37"/>
      <c r="D114" s="38" t="s">
        <v>84</v>
      </c>
      <c r="F114" s="38" t="s">
        <v>84</v>
      </c>
      <c r="H114" s="38" t="s">
        <v>84</v>
      </c>
      <c r="J114" s="38" t="s">
        <v>84</v>
      </c>
      <c r="L114" s="38" t="s">
        <v>84</v>
      </c>
      <c r="N114" s="38" t="s">
        <v>84</v>
      </c>
      <c r="P114" s="38" t="s">
        <v>84</v>
      </c>
      <c r="R114" s="38" t="s">
        <v>84</v>
      </c>
      <c r="T114" s="38" t="s">
        <v>84</v>
      </c>
      <c r="V114" s="38" t="s">
        <v>84</v>
      </c>
      <c r="X114" s="38" t="s">
        <v>84</v>
      </c>
      <c r="Z114" s="38" t="s">
        <v>84</v>
      </c>
    </row>
    <row r="115" spans="1:29" x14ac:dyDescent="0.2">
      <c r="A115" s="24"/>
      <c r="B115" s="24"/>
      <c r="C115" s="49" t="s">
        <v>32</v>
      </c>
      <c r="D115" s="49" t="s">
        <v>31</v>
      </c>
      <c r="E115" s="49" t="s">
        <v>33</v>
      </c>
      <c r="F115" s="49" t="s">
        <v>31</v>
      </c>
      <c r="G115" s="49" t="s">
        <v>34</v>
      </c>
      <c r="H115" s="49" t="s">
        <v>31</v>
      </c>
      <c r="I115" s="49" t="s">
        <v>35</v>
      </c>
      <c r="J115" s="49" t="s">
        <v>31</v>
      </c>
      <c r="K115" s="49" t="s">
        <v>36</v>
      </c>
      <c r="L115" s="26" t="s">
        <v>31</v>
      </c>
      <c r="M115" s="26" t="s">
        <v>37</v>
      </c>
      <c r="N115" s="26" t="s">
        <v>31</v>
      </c>
      <c r="O115" s="49" t="s">
        <v>38</v>
      </c>
      <c r="P115" s="49" t="s">
        <v>31</v>
      </c>
      <c r="Q115" s="49" t="s">
        <v>39</v>
      </c>
      <c r="R115" s="49" t="s">
        <v>31</v>
      </c>
      <c r="S115" s="49" t="s">
        <v>40</v>
      </c>
      <c r="T115" s="49" t="s">
        <v>31</v>
      </c>
      <c r="U115" s="49" t="s">
        <v>41</v>
      </c>
      <c r="V115" s="49" t="s">
        <v>31</v>
      </c>
      <c r="W115" s="49" t="s">
        <v>42</v>
      </c>
      <c r="X115" s="49" t="s">
        <v>31</v>
      </c>
      <c r="Y115" s="49" t="s">
        <v>43</v>
      </c>
      <c r="Z115" s="49" t="s">
        <v>31</v>
      </c>
      <c r="AA115" s="26"/>
      <c r="AB115" s="26" t="s">
        <v>124</v>
      </c>
      <c r="AC115" s="26" t="s">
        <v>125</v>
      </c>
    </row>
    <row r="116" spans="1:29" x14ac:dyDescent="0.2">
      <c r="A116" s="9" t="s">
        <v>48</v>
      </c>
      <c r="C116" s="22">
        <v>26294.82</v>
      </c>
      <c r="D116" s="37">
        <f t="shared" ref="D116:D135" si="241">ROUND(C116+(C116/C$139*C$140),2)</f>
        <v>25875.9</v>
      </c>
      <c r="E116" s="70">
        <v>18717.16</v>
      </c>
      <c r="F116" s="37">
        <f t="shared" ref="F116:F135" si="242">ROUND(E116+(E116/E$139*E$140),2)</f>
        <v>18419.060000000001</v>
      </c>
      <c r="G116" s="70">
        <v>14539.02</v>
      </c>
      <c r="H116" s="37">
        <f t="shared" ref="H116:H138" si="243">ROUND(G116+(G116/G$139*G$140),2)</f>
        <v>14302.34</v>
      </c>
      <c r="I116" s="22">
        <v>9256.9699999999993</v>
      </c>
      <c r="J116" s="37">
        <f t="shared" ref="J116:J136" si="244">ROUND(I116+(I116/I$139*I$140),2)</f>
        <v>9109.51</v>
      </c>
      <c r="K116" s="22">
        <v>7602.95</v>
      </c>
      <c r="L116" s="37">
        <f t="shared" ref="L116:L138" si="245">ROUND(K116+(K116/K$139*K$140),2)</f>
        <v>7483.02</v>
      </c>
      <c r="M116" s="37">
        <v>5051.04</v>
      </c>
      <c r="N116" s="37">
        <f t="shared" ref="N116:N135" si="246">ROUND(M116+(M116/M$139*M$140),2)</f>
        <v>4970.68</v>
      </c>
      <c r="O116" s="115">
        <v>3452.21</v>
      </c>
      <c r="P116" s="37">
        <f t="shared" ref="P116:P135" si="247">ROUND(O116+(O116/O$139*O$140),2)</f>
        <v>3396.65</v>
      </c>
      <c r="Q116" s="22">
        <v>6330.55</v>
      </c>
      <c r="R116" s="37">
        <f t="shared" ref="R116:R138" si="248">ROUND(Q116+(Q116/Q$139*Q$140),2)</f>
        <v>6229.25</v>
      </c>
      <c r="S116" s="22">
        <v>2520.46</v>
      </c>
      <c r="T116" s="37">
        <f t="shared" ref="T116:T138" si="249">ROUND(S116+(S116/S$139*S$140),2)</f>
        <v>2479.5500000000002</v>
      </c>
      <c r="U116" s="22">
        <v>3872.22</v>
      </c>
      <c r="V116" s="37">
        <f t="shared" ref="V116:V138" si="250">ROUND(U116+(U116/U$139*U$140),2)</f>
        <v>3810.57</v>
      </c>
      <c r="W116" s="22">
        <v>6240.34</v>
      </c>
      <c r="X116" s="37">
        <f t="shared" ref="X116:X138" si="251">ROUND(W116+(W116/W$139*W$140),2)</f>
        <v>6141.17</v>
      </c>
      <c r="Y116" s="22">
        <v>11462.2</v>
      </c>
      <c r="Z116" s="37">
        <f t="shared" ref="Z116:Z138" si="252">ROUND(Y116+(Y116/Y$139*Y$140),2)</f>
        <v>11278.87</v>
      </c>
      <c r="AA116" s="260"/>
      <c r="AB116" s="261">
        <f t="shared" ref="AB116:AB138" si="253">+D116+F116+H116+J116+L116+N116+P116+R116+T116+V116+X116+Z116</f>
        <v>113496.57</v>
      </c>
      <c r="AC116" s="37">
        <f t="shared" ref="AC116:AC138" si="254">+C116+E116+G116+I116+K116+M116+O116+Q116+S116+U116+W116+Y116</f>
        <v>115339.94</v>
      </c>
    </row>
    <row r="117" spans="1:29" x14ac:dyDescent="0.2">
      <c r="A117" s="9" t="s">
        <v>22</v>
      </c>
      <c r="C117" s="22">
        <v>0</v>
      </c>
      <c r="D117" s="37">
        <f t="shared" si="241"/>
        <v>0</v>
      </c>
      <c r="E117" s="70">
        <v>809.8</v>
      </c>
      <c r="F117" s="37">
        <f t="shared" si="242"/>
        <v>796.9</v>
      </c>
      <c r="G117" s="70">
        <v>0</v>
      </c>
      <c r="H117" s="37">
        <f t="shared" si="243"/>
        <v>0</v>
      </c>
      <c r="I117" s="22">
        <v>152.13</v>
      </c>
      <c r="J117" s="37">
        <f t="shared" si="244"/>
        <v>149.71</v>
      </c>
      <c r="K117" s="22">
        <v>551.37</v>
      </c>
      <c r="L117" s="37">
        <f t="shared" si="245"/>
        <v>542.66999999999996</v>
      </c>
      <c r="M117" s="37">
        <v>0</v>
      </c>
      <c r="N117" s="37">
        <f t="shared" si="246"/>
        <v>0</v>
      </c>
      <c r="O117" s="115">
        <v>816.06</v>
      </c>
      <c r="P117" s="37">
        <f t="shared" si="247"/>
        <v>802.93</v>
      </c>
      <c r="Q117" s="22">
        <v>433.78</v>
      </c>
      <c r="R117" s="37">
        <f t="shared" si="248"/>
        <v>426.84</v>
      </c>
      <c r="S117" s="22">
        <v>608.52</v>
      </c>
      <c r="T117" s="37">
        <f t="shared" si="249"/>
        <v>598.64</v>
      </c>
      <c r="U117" s="22">
        <v>0</v>
      </c>
      <c r="V117" s="37">
        <f t="shared" si="250"/>
        <v>0</v>
      </c>
      <c r="W117" s="22">
        <v>426.51</v>
      </c>
      <c r="X117" s="37">
        <f t="shared" si="251"/>
        <v>419.73</v>
      </c>
      <c r="Y117" s="22">
        <v>404.23</v>
      </c>
      <c r="Z117" s="37">
        <f t="shared" si="252"/>
        <v>397.76</v>
      </c>
      <c r="AA117" s="260"/>
      <c r="AB117" s="261">
        <f t="shared" si="253"/>
        <v>4135.18</v>
      </c>
      <c r="AC117" s="37">
        <f t="shared" si="254"/>
        <v>4202.3999999999996</v>
      </c>
    </row>
    <row r="118" spans="1:29" x14ac:dyDescent="0.2">
      <c r="A118" s="9" t="s">
        <v>49</v>
      </c>
      <c r="C118" s="22">
        <v>151960.67000000001</v>
      </c>
      <c r="D118" s="37">
        <f t="shared" si="241"/>
        <v>149539.71</v>
      </c>
      <c r="E118" s="70">
        <v>208997.24</v>
      </c>
      <c r="F118" s="37">
        <f t="shared" si="242"/>
        <v>205668.6</v>
      </c>
      <c r="G118" s="261">
        <v>205742.95</v>
      </c>
      <c r="H118" s="37">
        <f t="shared" si="243"/>
        <v>202393.65</v>
      </c>
      <c r="I118" s="22">
        <v>199934.55</v>
      </c>
      <c r="J118" s="37">
        <f t="shared" si="244"/>
        <v>196749.58</v>
      </c>
      <c r="K118" s="22">
        <v>210719.67</v>
      </c>
      <c r="L118" s="37">
        <f t="shared" si="245"/>
        <v>207395.88</v>
      </c>
      <c r="M118" s="37">
        <v>184655.31</v>
      </c>
      <c r="N118" s="37">
        <f t="shared" si="246"/>
        <v>181717.53</v>
      </c>
      <c r="O118" s="115">
        <v>214529.87</v>
      </c>
      <c r="P118" s="37">
        <f t="shared" si="247"/>
        <v>211077.4</v>
      </c>
      <c r="Q118" s="22">
        <v>283533.73</v>
      </c>
      <c r="R118" s="37">
        <f t="shared" si="248"/>
        <v>278996.61</v>
      </c>
      <c r="S118" s="22">
        <v>192405.36</v>
      </c>
      <c r="T118" s="37">
        <f t="shared" si="249"/>
        <v>189282.4</v>
      </c>
      <c r="U118" s="22">
        <v>431577.38</v>
      </c>
      <c r="V118" s="37">
        <f t="shared" si="250"/>
        <v>424706.33</v>
      </c>
      <c r="W118" s="22">
        <v>262882.31</v>
      </c>
      <c r="X118" s="37">
        <f t="shared" si="251"/>
        <v>258704.5</v>
      </c>
      <c r="Y118" s="22">
        <v>234661.73</v>
      </c>
      <c r="Z118" s="37">
        <f t="shared" si="252"/>
        <v>230908.39</v>
      </c>
      <c r="AA118" s="260"/>
      <c r="AB118" s="261">
        <f t="shared" si="253"/>
        <v>2737140.58</v>
      </c>
      <c r="AC118" s="37">
        <f t="shared" si="254"/>
        <v>2781600.77</v>
      </c>
    </row>
    <row r="119" spans="1:29" x14ac:dyDescent="0.2">
      <c r="A119" s="9" t="s">
        <v>23</v>
      </c>
      <c r="C119" s="22">
        <v>865702.78</v>
      </c>
      <c r="D119" s="37">
        <f t="shared" si="241"/>
        <v>851910.85</v>
      </c>
      <c r="E119" s="70">
        <v>779687.35</v>
      </c>
      <c r="F119" s="37">
        <f t="shared" si="242"/>
        <v>767269.49</v>
      </c>
      <c r="G119" s="70">
        <v>788535.54</v>
      </c>
      <c r="H119" s="37">
        <f t="shared" si="243"/>
        <v>775698.93</v>
      </c>
      <c r="I119" s="22">
        <v>1044374.75</v>
      </c>
      <c r="J119" s="37">
        <f t="shared" si="244"/>
        <v>1027737.79</v>
      </c>
      <c r="K119" s="22">
        <v>742021.28</v>
      </c>
      <c r="L119" s="37">
        <f t="shared" si="245"/>
        <v>730317</v>
      </c>
      <c r="M119" s="37">
        <v>899936.37</v>
      </c>
      <c r="N119" s="37">
        <f t="shared" si="246"/>
        <v>885618.78</v>
      </c>
      <c r="O119" s="115">
        <v>522124.72</v>
      </c>
      <c r="P119" s="37">
        <f t="shared" si="247"/>
        <v>513722.07</v>
      </c>
      <c r="Q119" s="22">
        <v>655774.11</v>
      </c>
      <c r="R119" s="37">
        <f t="shared" si="248"/>
        <v>645280.37</v>
      </c>
      <c r="S119" s="22">
        <v>543651.29</v>
      </c>
      <c r="T119" s="37">
        <f t="shared" si="249"/>
        <v>534827.21</v>
      </c>
      <c r="U119" s="22">
        <v>800510.56</v>
      </c>
      <c r="V119" s="37">
        <f t="shared" si="250"/>
        <v>787765.81</v>
      </c>
      <c r="W119" s="22">
        <v>781081.17</v>
      </c>
      <c r="X119" s="37">
        <f t="shared" si="251"/>
        <v>768667.97</v>
      </c>
      <c r="Y119" s="22">
        <v>745167.03</v>
      </c>
      <c r="Z119" s="37">
        <f t="shared" si="252"/>
        <v>733248.33</v>
      </c>
      <c r="AA119" s="260"/>
      <c r="AB119" s="261">
        <f t="shared" si="253"/>
        <v>9022064.5999999996</v>
      </c>
      <c r="AC119" s="37">
        <f t="shared" si="254"/>
        <v>9168566.9499999993</v>
      </c>
    </row>
    <row r="120" spans="1:29" x14ac:dyDescent="0.2">
      <c r="A120" s="9" t="s">
        <v>24</v>
      </c>
      <c r="C120" s="22">
        <v>119965.5</v>
      </c>
      <c r="D120" s="37">
        <f t="shared" si="241"/>
        <v>118054.27</v>
      </c>
      <c r="E120" s="70">
        <v>123772.65</v>
      </c>
      <c r="F120" s="37">
        <f t="shared" si="242"/>
        <v>121801.36</v>
      </c>
      <c r="G120" s="70">
        <v>125719.12</v>
      </c>
      <c r="H120" s="37">
        <f t="shared" si="243"/>
        <v>123672.53</v>
      </c>
      <c r="I120" s="22">
        <v>132679.81</v>
      </c>
      <c r="J120" s="37">
        <f t="shared" si="244"/>
        <v>130566.21</v>
      </c>
      <c r="K120" s="22">
        <v>124773.52</v>
      </c>
      <c r="L120" s="37">
        <f t="shared" si="245"/>
        <v>122805.4</v>
      </c>
      <c r="M120" s="37">
        <v>221404.04</v>
      </c>
      <c r="N120" s="37">
        <f t="shared" si="246"/>
        <v>217881.60000000001</v>
      </c>
      <c r="O120" s="115">
        <v>127436.77</v>
      </c>
      <c r="P120" s="37">
        <f t="shared" si="247"/>
        <v>125385.91</v>
      </c>
      <c r="Q120" s="22">
        <v>135763.44</v>
      </c>
      <c r="R120" s="37">
        <f t="shared" si="248"/>
        <v>133590.95000000001</v>
      </c>
      <c r="S120" s="22">
        <v>124515.18</v>
      </c>
      <c r="T120" s="37">
        <f t="shared" si="249"/>
        <v>122494.16</v>
      </c>
      <c r="U120" s="22">
        <v>104957.67</v>
      </c>
      <c r="V120" s="37">
        <f t="shared" si="250"/>
        <v>103286.66</v>
      </c>
      <c r="W120" s="22">
        <v>120487.21</v>
      </c>
      <c r="X120" s="37">
        <f t="shared" si="251"/>
        <v>118572.39</v>
      </c>
      <c r="Y120" s="22">
        <v>138026.76999999999</v>
      </c>
      <c r="Z120" s="37">
        <f t="shared" si="252"/>
        <v>135819.07999999999</v>
      </c>
      <c r="AA120" s="260"/>
      <c r="AB120" s="261">
        <f t="shared" si="253"/>
        <v>1573930.5199999998</v>
      </c>
      <c r="AC120" s="37">
        <f t="shared" si="254"/>
        <v>1599501.68</v>
      </c>
    </row>
    <row r="121" spans="1:29" x14ac:dyDescent="0.2">
      <c r="A121" s="9" t="s">
        <v>25</v>
      </c>
      <c r="C121" s="22">
        <v>108522.49</v>
      </c>
      <c r="D121" s="37">
        <f t="shared" si="241"/>
        <v>106793.57</v>
      </c>
      <c r="E121" s="70">
        <v>111661.62</v>
      </c>
      <c r="F121" s="37">
        <f t="shared" si="242"/>
        <v>109883.22</v>
      </c>
      <c r="G121" s="70">
        <v>109647.07</v>
      </c>
      <c r="H121" s="37">
        <f t="shared" si="243"/>
        <v>107862.12</v>
      </c>
      <c r="I121" s="22">
        <v>143293.16</v>
      </c>
      <c r="J121" s="37">
        <f t="shared" si="244"/>
        <v>141010.49</v>
      </c>
      <c r="K121" s="22">
        <v>109395.49</v>
      </c>
      <c r="L121" s="37">
        <f t="shared" si="245"/>
        <v>107669.94</v>
      </c>
      <c r="M121" s="37">
        <v>119606.39999999999</v>
      </c>
      <c r="N121" s="37">
        <f t="shared" si="246"/>
        <v>117703.52</v>
      </c>
      <c r="O121" s="115">
        <v>96184.73</v>
      </c>
      <c r="P121" s="37">
        <f t="shared" si="247"/>
        <v>94636.81</v>
      </c>
      <c r="Q121" s="22">
        <v>112768.57</v>
      </c>
      <c r="R121" s="37">
        <f t="shared" si="248"/>
        <v>110964.04</v>
      </c>
      <c r="S121" s="22">
        <v>97137.12</v>
      </c>
      <c r="T121" s="37">
        <f t="shared" si="249"/>
        <v>95560.47</v>
      </c>
      <c r="U121" s="22">
        <v>91724.62</v>
      </c>
      <c r="V121" s="37">
        <f t="shared" si="250"/>
        <v>90264.29</v>
      </c>
      <c r="W121" s="22">
        <f>188.72+101600.06</f>
        <v>101788.78</v>
      </c>
      <c r="X121" s="37">
        <f t="shared" si="251"/>
        <v>100171.12</v>
      </c>
      <c r="Y121" s="22">
        <v>115337.95</v>
      </c>
      <c r="Z121" s="37">
        <f t="shared" si="252"/>
        <v>113493.16</v>
      </c>
      <c r="AA121" s="260"/>
      <c r="AB121" s="261">
        <f t="shared" si="253"/>
        <v>1296012.7500000002</v>
      </c>
      <c r="AC121" s="37">
        <f t="shared" si="254"/>
        <v>1317068</v>
      </c>
    </row>
    <row r="122" spans="1:29" x14ac:dyDescent="0.2">
      <c r="A122" s="9" t="s">
        <v>26</v>
      </c>
      <c r="C122" s="22">
        <v>2248404.7999999998</v>
      </c>
      <c r="D122" s="37">
        <f t="shared" si="241"/>
        <v>2212584.38</v>
      </c>
      <c r="E122" s="70">
        <v>2315750.73</v>
      </c>
      <c r="F122" s="37">
        <f t="shared" si="242"/>
        <v>2278868.4300000002</v>
      </c>
      <c r="G122" s="70">
        <v>2342534.16</v>
      </c>
      <c r="H122" s="37">
        <f t="shared" si="243"/>
        <v>2304399.94</v>
      </c>
      <c r="I122" s="22">
        <v>2671347.69</v>
      </c>
      <c r="J122" s="37">
        <f t="shared" si="244"/>
        <v>2628792.9500000002</v>
      </c>
      <c r="K122" s="22">
        <v>2339885.11</v>
      </c>
      <c r="L122" s="37">
        <f t="shared" si="245"/>
        <v>2302976.91</v>
      </c>
      <c r="M122" s="37">
        <v>2313200.7799999998</v>
      </c>
      <c r="N122" s="37">
        <f t="shared" si="246"/>
        <v>2276398.7799999998</v>
      </c>
      <c r="O122" s="115">
        <v>2232160.42</v>
      </c>
      <c r="P122" s="37">
        <f t="shared" si="247"/>
        <v>2196237.86</v>
      </c>
      <c r="Q122" s="22">
        <v>2886464.07</v>
      </c>
      <c r="R122" s="37">
        <f t="shared" si="248"/>
        <v>2840274.7</v>
      </c>
      <c r="S122" s="22">
        <v>1868505.04</v>
      </c>
      <c r="T122" s="37">
        <f t="shared" si="249"/>
        <v>1838177.07</v>
      </c>
      <c r="U122" s="22">
        <v>1947967.23</v>
      </c>
      <c r="V122" s="37">
        <f t="shared" si="250"/>
        <v>1916954.08</v>
      </c>
      <c r="W122" s="22">
        <v>2239303.94</v>
      </c>
      <c r="X122" s="37">
        <f t="shared" si="251"/>
        <v>2203716.19</v>
      </c>
      <c r="Y122" s="70">
        <v>2176778.88</v>
      </c>
      <c r="Z122" s="37">
        <f t="shared" si="252"/>
        <v>2141962.0299999998</v>
      </c>
      <c r="AA122" s="260"/>
      <c r="AB122" s="261">
        <f t="shared" si="253"/>
        <v>27141343.320000004</v>
      </c>
      <c r="AC122" s="37">
        <f t="shared" si="254"/>
        <v>27582302.849999998</v>
      </c>
    </row>
    <row r="123" spans="1:29" x14ac:dyDescent="0.2">
      <c r="A123" s="9" t="s">
        <v>50</v>
      </c>
      <c r="C123" s="22">
        <v>15479.65</v>
      </c>
      <c r="D123" s="37">
        <f t="shared" si="241"/>
        <v>15233.04</v>
      </c>
      <c r="E123" s="70">
        <v>14919.76</v>
      </c>
      <c r="F123" s="37">
        <f t="shared" si="242"/>
        <v>14682.14</v>
      </c>
      <c r="G123" s="70">
        <v>16648.400000000001</v>
      </c>
      <c r="H123" s="37">
        <f t="shared" si="243"/>
        <v>16377.38</v>
      </c>
      <c r="I123" s="22">
        <v>24287.02</v>
      </c>
      <c r="J123" s="37">
        <f t="shared" si="244"/>
        <v>23900.13</v>
      </c>
      <c r="K123" s="22">
        <v>15055.9</v>
      </c>
      <c r="L123" s="37">
        <f t="shared" si="245"/>
        <v>14818.42</v>
      </c>
      <c r="M123" s="37">
        <v>9524.98</v>
      </c>
      <c r="N123" s="37">
        <f t="shared" si="246"/>
        <v>9373.44</v>
      </c>
      <c r="O123" s="115">
        <v>15450.51</v>
      </c>
      <c r="P123" s="37">
        <f t="shared" si="247"/>
        <v>15201.86</v>
      </c>
      <c r="Q123" s="22">
        <v>9752.9500000000007</v>
      </c>
      <c r="R123" s="37">
        <f t="shared" si="248"/>
        <v>9596.8799999999992</v>
      </c>
      <c r="S123" s="22">
        <v>15281.1</v>
      </c>
      <c r="T123" s="37">
        <f t="shared" si="249"/>
        <v>15033.07</v>
      </c>
      <c r="U123" s="22">
        <v>12616.79</v>
      </c>
      <c r="V123" s="37">
        <f t="shared" si="250"/>
        <v>12415.92</v>
      </c>
      <c r="W123" s="22">
        <v>25400.22</v>
      </c>
      <c r="X123" s="37">
        <f t="shared" si="251"/>
        <v>24996.55</v>
      </c>
      <c r="Y123" s="70">
        <v>21597.77</v>
      </c>
      <c r="Z123" s="37">
        <f t="shared" si="252"/>
        <v>21252.32</v>
      </c>
      <c r="AA123" s="260"/>
      <c r="AB123" s="261">
        <f t="shared" si="253"/>
        <v>192881.15000000002</v>
      </c>
      <c r="AC123" s="37">
        <f t="shared" si="254"/>
        <v>196015.05</v>
      </c>
    </row>
    <row r="124" spans="1:29" x14ac:dyDescent="0.2">
      <c r="A124" s="9" t="s">
        <v>55</v>
      </c>
      <c r="C124" s="22">
        <v>302608.49</v>
      </c>
      <c r="D124" s="37">
        <f t="shared" si="241"/>
        <v>297787.49</v>
      </c>
      <c r="E124" s="70">
        <v>295520.74</v>
      </c>
      <c r="F124" s="37">
        <f t="shared" si="242"/>
        <v>290814.07</v>
      </c>
      <c r="G124" s="70">
        <v>286055.11</v>
      </c>
      <c r="H124" s="37">
        <f t="shared" si="243"/>
        <v>281398.40999999997</v>
      </c>
      <c r="I124" s="22">
        <v>457939.82</v>
      </c>
      <c r="J124" s="37">
        <f t="shared" si="244"/>
        <v>450644.81</v>
      </c>
      <c r="K124" s="22">
        <v>308218.90999999997</v>
      </c>
      <c r="L124" s="37">
        <f t="shared" si="245"/>
        <v>303357.21999999997</v>
      </c>
      <c r="M124" s="37">
        <v>303714.46999999997</v>
      </c>
      <c r="N124" s="37">
        <f t="shared" si="246"/>
        <v>298882.51</v>
      </c>
      <c r="O124" s="115">
        <v>294640.7</v>
      </c>
      <c r="P124" s="37">
        <f t="shared" si="247"/>
        <v>289898.99</v>
      </c>
      <c r="Q124" s="22">
        <v>322202.59999999998</v>
      </c>
      <c r="R124" s="37">
        <f t="shared" si="248"/>
        <v>317046.69</v>
      </c>
      <c r="S124" s="22">
        <v>301190.21000000002</v>
      </c>
      <c r="T124" s="37">
        <f t="shared" si="249"/>
        <v>296301.55</v>
      </c>
      <c r="U124" s="22">
        <v>288107.08</v>
      </c>
      <c r="V124" s="37">
        <f t="shared" si="250"/>
        <v>283520.19</v>
      </c>
      <c r="W124" s="22">
        <v>325572.15000000002</v>
      </c>
      <c r="X124" s="37">
        <f t="shared" si="251"/>
        <v>320398.05</v>
      </c>
      <c r="Y124" s="22">
        <v>328403.15000000002</v>
      </c>
      <c r="Z124" s="37">
        <f t="shared" si="252"/>
        <v>323150.45</v>
      </c>
      <c r="AA124" s="260"/>
      <c r="AB124" s="261">
        <f t="shared" si="253"/>
        <v>3753200.4299999997</v>
      </c>
      <c r="AC124" s="37">
        <f t="shared" si="254"/>
        <v>3814173.4299999997</v>
      </c>
    </row>
    <row r="125" spans="1:29" x14ac:dyDescent="0.2">
      <c r="A125" s="9" t="s">
        <v>51</v>
      </c>
      <c r="C125" s="22">
        <v>97958.99</v>
      </c>
      <c r="D125" s="37">
        <f t="shared" si="241"/>
        <v>96398.36</v>
      </c>
      <c r="E125" s="70">
        <v>89826.02</v>
      </c>
      <c r="F125" s="37">
        <f t="shared" si="242"/>
        <v>88395.39</v>
      </c>
      <c r="G125" s="70">
        <v>127760.98</v>
      </c>
      <c r="H125" s="37">
        <f t="shared" si="243"/>
        <v>125681.15</v>
      </c>
      <c r="I125" s="22">
        <v>95143.92</v>
      </c>
      <c r="J125" s="37">
        <f t="shared" si="244"/>
        <v>93628.27</v>
      </c>
      <c r="K125" s="22">
        <v>107621.61</v>
      </c>
      <c r="L125" s="37">
        <f t="shared" si="245"/>
        <v>105924.04</v>
      </c>
      <c r="M125" s="37">
        <v>122619.92</v>
      </c>
      <c r="N125" s="37">
        <f t="shared" si="246"/>
        <v>120669.09</v>
      </c>
      <c r="O125" s="115">
        <v>91645.52</v>
      </c>
      <c r="P125" s="37">
        <f t="shared" si="247"/>
        <v>90170.65</v>
      </c>
      <c r="Q125" s="22">
        <v>103344.94</v>
      </c>
      <c r="R125" s="37">
        <f t="shared" si="248"/>
        <v>101691.21</v>
      </c>
      <c r="S125" s="22">
        <v>128386.86</v>
      </c>
      <c r="T125" s="37">
        <f t="shared" si="249"/>
        <v>126302.99</v>
      </c>
      <c r="U125" s="22">
        <v>85587.23</v>
      </c>
      <c r="V125" s="37">
        <f t="shared" si="250"/>
        <v>84224.61</v>
      </c>
      <c r="W125" s="22">
        <v>100722.4</v>
      </c>
      <c r="X125" s="37">
        <f t="shared" si="251"/>
        <v>99121.69</v>
      </c>
      <c r="Y125" s="22">
        <v>124513.9</v>
      </c>
      <c r="Z125" s="37">
        <f t="shared" si="252"/>
        <v>122522.34</v>
      </c>
      <c r="AA125" s="260"/>
      <c r="AB125" s="261">
        <f t="shared" si="253"/>
        <v>1254729.79</v>
      </c>
      <c r="AC125" s="37">
        <f t="shared" si="254"/>
        <v>1275132.2899999998</v>
      </c>
    </row>
    <row r="126" spans="1:29" x14ac:dyDescent="0.2">
      <c r="A126" s="9" t="s">
        <v>52</v>
      </c>
      <c r="C126" s="22">
        <v>244059.55</v>
      </c>
      <c r="D126" s="37">
        <f t="shared" si="241"/>
        <v>240171.32</v>
      </c>
      <c r="E126" s="70">
        <v>194974.04</v>
      </c>
      <c r="F126" s="37">
        <f t="shared" si="242"/>
        <v>191868.74</v>
      </c>
      <c r="G126" s="70">
        <v>160013.20000000001</v>
      </c>
      <c r="H126" s="37">
        <f t="shared" si="243"/>
        <v>157408.34</v>
      </c>
      <c r="I126" s="22">
        <v>247751.78</v>
      </c>
      <c r="J126" s="37">
        <f t="shared" si="244"/>
        <v>243805.08</v>
      </c>
      <c r="K126" s="22">
        <v>191373.42</v>
      </c>
      <c r="L126" s="37">
        <f t="shared" si="245"/>
        <v>188354.79</v>
      </c>
      <c r="M126" s="22">
        <v>193556.08</v>
      </c>
      <c r="N126" s="37">
        <f t="shared" si="246"/>
        <v>190476.69</v>
      </c>
      <c r="O126" s="115">
        <v>157507.91</v>
      </c>
      <c r="P126" s="37">
        <f t="shared" si="247"/>
        <v>154973.10999999999</v>
      </c>
      <c r="Q126" s="22">
        <v>185666.4</v>
      </c>
      <c r="R126" s="37">
        <f t="shared" si="248"/>
        <v>182695.36</v>
      </c>
      <c r="S126" s="22">
        <v>151166.63</v>
      </c>
      <c r="T126" s="37">
        <f t="shared" si="249"/>
        <v>148713.01999999999</v>
      </c>
      <c r="U126" s="22">
        <v>143606.79999999999</v>
      </c>
      <c r="V126" s="37">
        <f t="shared" si="250"/>
        <v>141320.47</v>
      </c>
      <c r="W126" s="22">
        <v>186288.69</v>
      </c>
      <c r="X126" s="37">
        <f t="shared" si="251"/>
        <v>183328.13</v>
      </c>
      <c r="Y126" s="22">
        <v>185956.19</v>
      </c>
      <c r="Z126" s="37">
        <f t="shared" si="252"/>
        <v>182981.88</v>
      </c>
      <c r="AA126" s="260"/>
      <c r="AB126" s="261">
        <f t="shared" si="253"/>
        <v>2206096.9299999997</v>
      </c>
      <c r="AC126" s="37">
        <f t="shared" si="254"/>
        <v>2241920.69</v>
      </c>
    </row>
    <row r="127" spans="1:29" x14ac:dyDescent="0.2">
      <c r="A127" s="9" t="s">
        <v>56</v>
      </c>
      <c r="C127" s="22">
        <v>700364.65</v>
      </c>
      <c r="D127" s="37">
        <f t="shared" si="241"/>
        <v>689206.8</v>
      </c>
      <c r="E127" s="70">
        <v>798566.48</v>
      </c>
      <c r="F127" s="37">
        <f t="shared" si="242"/>
        <v>785847.94</v>
      </c>
      <c r="G127" s="70">
        <v>568001.88</v>
      </c>
      <c r="H127" s="37">
        <f t="shared" si="243"/>
        <v>558755.35</v>
      </c>
      <c r="I127" s="22">
        <v>695127.25</v>
      </c>
      <c r="J127" s="37">
        <f t="shared" si="244"/>
        <v>684053.83</v>
      </c>
      <c r="K127" s="22">
        <v>806719.8</v>
      </c>
      <c r="L127" s="37">
        <f t="shared" si="245"/>
        <v>793995</v>
      </c>
      <c r="M127" s="22">
        <v>590787.64</v>
      </c>
      <c r="N127" s="37">
        <f t="shared" si="246"/>
        <v>581388.47</v>
      </c>
      <c r="O127" s="115">
        <v>541936.23</v>
      </c>
      <c r="P127" s="37">
        <f t="shared" si="247"/>
        <v>533214.75</v>
      </c>
      <c r="Q127" s="22">
        <v>711982.87</v>
      </c>
      <c r="R127" s="37">
        <f t="shared" si="248"/>
        <v>700589.68</v>
      </c>
      <c r="S127" s="22">
        <v>539198.30000000005</v>
      </c>
      <c r="T127" s="37">
        <f t="shared" si="249"/>
        <v>530446.49</v>
      </c>
      <c r="U127" s="22">
        <v>630778.09</v>
      </c>
      <c r="V127" s="37">
        <f t="shared" si="250"/>
        <v>620735.61</v>
      </c>
      <c r="W127" s="22">
        <v>685395.64</v>
      </c>
      <c r="X127" s="37">
        <f t="shared" si="251"/>
        <v>674503.11</v>
      </c>
      <c r="Y127" s="22">
        <v>569000.5</v>
      </c>
      <c r="Z127" s="37">
        <f t="shared" si="252"/>
        <v>559899.53</v>
      </c>
      <c r="AA127" s="260"/>
      <c r="AB127" s="261">
        <f t="shared" si="253"/>
        <v>7712636.5600000005</v>
      </c>
      <c r="AC127" s="37">
        <f t="shared" si="254"/>
        <v>7837859.3299999991</v>
      </c>
    </row>
    <row r="128" spans="1:29" x14ac:dyDescent="0.2">
      <c r="A128" s="9" t="s">
        <v>53</v>
      </c>
      <c r="C128" s="22">
        <v>20500.8</v>
      </c>
      <c r="D128" s="37">
        <f t="shared" si="241"/>
        <v>20174.189999999999</v>
      </c>
      <c r="E128" s="70">
        <v>10982.52</v>
      </c>
      <c r="F128" s="37">
        <f t="shared" si="242"/>
        <v>10807.6</v>
      </c>
      <c r="G128" s="70">
        <v>19882.97</v>
      </c>
      <c r="H128" s="37">
        <f t="shared" si="243"/>
        <v>19559.29</v>
      </c>
      <c r="I128" s="22">
        <v>17299.61</v>
      </c>
      <c r="J128" s="37">
        <f t="shared" si="244"/>
        <v>17024.03</v>
      </c>
      <c r="K128" s="22">
        <v>10529.68</v>
      </c>
      <c r="L128" s="37">
        <f t="shared" si="245"/>
        <v>10363.59</v>
      </c>
      <c r="M128" s="22">
        <v>15992.54</v>
      </c>
      <c r="N128" s="37">
        <f t="shared" si="246"/>
        <v>15738.11</v>
      </c>
      <c r="O128" s="115">
        <v>16533.46</v>
      </c>
      <c r="P128" s="37">
        <f t="shared" si="247"/>
        <v>16267.38</v>
      </c>
      <c r="Q128" s="22">
        <v>12056.79</v>
      </c>
      <c r="R128" s="37">
        <f t="shared" si="248"/>
        <v>11863.86</v>
      </c>
      <c r="S128" s="22">
        <v>11746.13</v>
      </c>
      <c r="T128" s="37">
        <f t="shared" si="249"/>
        <v>11555.48</v>
      </c>
      <c r="U128" s="22">
        <v>17921.88</v>
      </c>
      <c r="V128" s="37">
        <f t="shared" si="250"/>
        <v>17636.55</v>
      </c>
      <c r="W128" s="22">
        <v>12330.59</v>
      </c>
      <c r="X128" s="37">
        <f t="shared" si="251"/>
        <v>12134.63</v>
      </c>
      <c r="Y128" s="22">
        <v>13143.46</v>
      </c>
      <c r="Z128" s="37">
        <f t="shared" si="252"/>
        <v>12933.23</v>
      </c>
      <c r="AA128" s="260"/>
      <c r="AB128" s="261">
        <f t="shared" si="253"/>
        <v>176057.94</v>
      </c>
      <c r="AC128" s="37">
        <f t="shared" si="254"/>
        <v>178920.43</v>
      </c>
    </row>
    <row r="129" spans="1:29" x14ac:dyDescent="0.2">
      <c r="A129" s="9" t="s">
        <v>57</v>
      </c>
      <c r="C129" s="22">
        <v>59111.59</v>
      </c>
      <c r="D129" s="37">
        <f t="shared" si="241"/>
        <v>58169.85</v>
      </c>
      <c r="E129" s="70">
        <v>66278.86</v>
      </c>
      <c r="F129" s="37">
        <f t="shared" si="242"/>
        <v>65223.26</v>
      </c>
      <c r="G129" s="70">
        <v>60598.23</v>
      </c>
      <c r="H129" s="37">
        <f t="shared" si="243"/>
        <v>59611.75</v>
      </c>
      <c r="I129" s="22">
        <v>61581.45</v>
      </c>
      <c r="J129" s="37">
        <f t="shared" si="244"/>
        <v>60600.45</v>
      </c>
      <c r="K129" s="22">
        <v>72730.27</v>
      </c>
      <c r="L129" s="37">
        <f t="shared" si="245"/>
        <v>71583.06</v>
      </c>
      <c r="M129" s="22">
        <v>56287.12</v>
      </c>
      <c r="N129" s="37">
        <f t="shared" si="246"/>
        <v>55391.62</v>
      </c>
      <c r="O129" s="115">
        <v>46781.279999999999</v>
      </c>
      <c r="P129" s="37">
        <f t="shared" si="247"/>
        <v>46028.42</v>
      </c>
      <c r="Q129" s="22">
        <v>63878.29</v>
      </c>
      <c r="R129" s="37">
        <f t="shared" si="248"/>
        <v>62856.11</v>
      </c>
      <c r="S129" s="22">
        <v>49381.9</v>
      </c>
      <c r="T129" s="37">
        <f t="shared" si="249"/>
        <v>48580.38</v>
      </c>
      <c r="U129" s="22">
        <v>57306.58</v>
      </c>
      <c r="V129" s="37">
        <f t="shared" si="250"/>
        <v>56394.21</v>
      </c>
      <c r="W129" s="22">
        <v>61025.26</v>
      </c>
      <c r="X129" s="37">
        <f t="shared" si="251"/>
        <v>60055.43</v>
      </c>
      <c r="Y129" s="22">
        <v>59913.73</v>
      </c>
      <c r="Z129" s="37">
        <f t="shared" si="252"/>
        <v>58955.43</v>
      </c>
      <c r="AA129" s="260"/>
      <c r="AB129" s="261">
        <f t="shared" si="253"/>
        <v>703449.97</v>
      </c>
      <c r="AC129" s="37">
        <f t="shared" si="254"/>
        <v>714874.55999999994</v>
      </c>
    </row>
    <row r="130" spans="1:29" x14ac:dyDescent="0.2">
      <c r="A130" s="9" t="s">
        <v>58</v>
      </c>
      <c r="C130" s="70">
        <v>33966.67</v>
      </c>
      <c r="D130" s="37">
        <f t="shared" si="241"/>
        <v>33425.53</v>
      </c>
      <c r="E130" s="70">
        <v>24429.81</v>
      </c>
      <c r="F130" s="37">
        <f t="shared" si="242"/>
        <v>24040.720000000001</v>
      </c>
      <c r="G130" s="70">
        <v>64384.91</v>
      </c>
      <c r="H130" s="37">
        <f t="shared" si="243"/>
        <v>63336.79</v>
      </c>
      <c r="I130" s="22">
        <v>40679.620000000003</v>
      </c>
      <c r="J130" s="37">
        <f t="shared" si="244"/>
        <v>40031.589999999997</v>
      </c>
      <c r="K130" s="22">
        <v>83515.039999999994</v>
      </c>
      <c r="L130" s="37">
        <f t="shared" si="245"/>
        <v>82197.710000000006</v>
      </c>
      <c r="M130" s="22">
        <v>79558.92</v>
      </c>
      <c r="N130" s="37">
        <f t="shared" si="246"/>
        <v>78293.17</v>
      </c>
      <c r="O130" s="115">
        <v>70610.38</v>
      </c>
      <c r="P130" s="37">
        <f t="shared" si="247"/>
        <v>69474.03</v>
      </c>
      <c r="Q130" s="22">
        <v>59941.45</v>
      </c>
      <c r="R130" s="37">
        <f t="shared" si="248"/>
        <v>58982.26</v>
      </c>
      <c r="S130" s="22">
        <v>33371.019999999997</v>
      </c>
      <c r="T130" s="37">
        <f t="shared" si="249"/>
        <v>32829.370000000003</v>
      </c>
      <c r="U130" s="22">
        <v>61672.28</v>
      </c>
      <c r="V130" s="37">
        <f t="shared" si="250"/>
        <v>60690.41</v>
      </c>
      <c r="W130" s="22">
        <v>67616.960000000006</v>
      </c>
      <c r="X130" s="37">
        <f t="shared" si="251"/>
        <v>66542.37</v>
      </c>
      <c r="Y130" s="22">
        <v>60813.53</v>
      </c>
      <c r="Z130" s="37">
        <f t="shared" si="252"/>
        <v>59840.84</v>
      </c>
      <c r="AA130" s="260"/>
      <c r="AB130" s="261">
        <f t="shared" si="253"/>
        <v>669684.79</v>
      </c>
      <c r="AC130" s="37">
        <f t="shared" si="254"/>
        <v>680560.59</v>
      </c>
    </row>
    <row r="131" spans="1:29" x14ac:dyDescent="0.2">
      <c r="A131" s="9" t="s">
        <v>59</v>
      </c>
      <c r="C131" s="22">
        <v>345380.89</v>
      </c>
      <c r="D131" s="37">
        <f t="shared" si="241"/>
        <v>339878.46</v>
      </c>
      <c r="E131" s="70">
        <v>373126.68</v>
      </c>
      <c r="F131" s="37">
        <f t="shared" si="242"/>
        <v>367184</v>
      </c>
      <c r="G131" s="70">
        <v>443165.69</v>
      </c>
      <c r="H131" s="37">
        <f t="shared" si="243"/>
        <v>435951.38</v>
      </c>
      <c r="I131" s="22">
        <v>393792.25</v>
      </c>
      <c r="J131" s="37">
        <f t="shared" si="244"/>
        <v>387519.11</v>
      </c>
      <c r="K131" s="22">
        <v>437877.28</v>
      </c>
      <c r="L131" s="37">
        <f t="shared" si="245"/>
        <v>430970.42</v>
      </c>
      <c r="M131" s="22">
        <v>374518.13</v>
      </c>
      <c r="N131" s="37">
        <f t="shared" si="246"/>
        <v>368559.71</v>
      </c>
      <c r="O131" s="115">
        <v>352122.4</v>
      </c>
      <c r="P131" s="37">
        <f t="shared" si="247"/>
        <v>346455.63</v>
      </c>
      <c r="Q131" s="22">
        <v>424264.13</v>
      </c>
      <c r="R131" s="37">
        <f t="shared" si="248"/>
        <v>417475.03</v>
      </c>
      <c r="S131" s="22">
        <v>361400.7</v>
      </c>
      <c r="T131" s="37">
        <f t="shared" si="249"/>
        <v>355534.75</v>
      </c>
      <c r="U131" s="22">
        <v>364438.25</v>
      </c>
      <c r="V131" s="37">
        <f t="shared" si="250"/>
        <v>358636.11</v>
      </c>
      <c r="W131" s="22">
        <v>287765.59999999998</v>
      </c>
      <c r="X131" s="37">
        <f t="shared" si="251"/>
        <v>283192.33</v>
      </c>
      <c r="Y131" s="22">
        <v>332886.14</v>
      </c>
      <c r="Z131" s="37">
        <f t="shared" si="252"/>
        <v>327561.74</v>
      </c>
      <c r="AA131" s="260"/>
      <c r="AB131" s="261">
        <f t="shared" si="253"/>
        <v>4418918.669999999</v>
      </c>
      <c r="AC131" s="37">
        <f t="shared" si="254"/>
        <v>4490738.1399999997</v>
      </c>
    </row>
    <row r="132" spans="1:29" x14ac:dyDescent="0.2">
      <c r="A132" s="9" t="s">
        <v>60</v>
      </c>
      <c r="C132" s="22">
        <v>33143.19</v>
      </c>
      <c r="D132" s="37">
        <f t="shared" si="241"/>
        <v>32615.17</v>
      </c>
      <c r="E132" s="70">
        <v>59627.57</v>
      </c>
      <c r="F132" s="37">
        <f t="shared" si="242"/>
        <v>58677.9</v>
      </c>
      <c r="G132" s="70">
        <v>42818.76</v>
      </c>
      <c r="H132" s="37">
        <f t="shared" si="243"/>
        <v>42121.71</v>
      </c>
      <c r="I132" s="22">
        <v>39853.18</v>
      </c>
      <c r="J132" s="37">
        <f t="shared" si="244"/>
        <v>39218.32</v>
      </c>
      <c r="K132" s="22">
        <v>37498.720000000001</v>
      </c>
      <c r="L132" s="37">
        <f t="shared" si="245"/>
        <v>36907.230000000003</v>
      </c>
      <c r="M132" s="22">
        <v>25740.86</v>
      </c>
      <c r="N132" s="37">
        <f t="shared" si="246"/>
        <v>25331.33</v>
      </c>
      <c r="O132" s="115">
        <v>35423.89</v>
      </c>
      <c r="P132" s="37">
        <f t="shared" si="247"/>
        <v>34853.81</v>
      </c>
      <c r="Q132" s="22">
        <v>49965.31</v>
      </c>
      <c r="R132" s="37">
        <f t="shared" si="248"/>
        <v>49165.760000000002</v>
      </c>
      <c r="S132" s="22">
        <v>38977.11</v>
      </c>
      <c r="T132" s="37">
        <f t="shared" si="249"/>
        <v>38344.47</v>
      </c>
      <c r="U132" s="22">
        <v>28925.54</v>
      </c>
      <c r="V132" s="37">
        <f t="shared" si="250"/>
        <v>28465.02</v>
      </c>
      <c r="W132" s="22">
        <v>31977.43</v>
      </c>
      <c r="X132" s="37">
        <f t="shared" si="251"/>
        <v>31469.23</v>
      </c>
      <c r="Y132" s="22">
        <v>30577.439999999999</v>
      </c>
      <c r="Z132" s="37">
        <f t="shared" si="252"/>
        <v>30088.36</v>
      </c>
      <c r="AA132" s="260"/>
      <c r="AB132" s="261">
        <f t="shared" si="253"/>
        <v>447258.31000000006</v>
      </c>
      <c r="AC132" s="37">
        <f t="shared" si="254"/>
        <v>454529</v>
      </c>
    </row>
    <row r="133" spans="1:29" x14ac:dyDescent="0.2">
      <c r="A133" s="9" t="s">
        <v>61</v>
      </c>
      <c r="C133" s="22">
        <v>1032680.29</v>
      </c>
      <c r="D133" s="37">
        <f t="shared" si="241"/>
        <v>1016228.16</v>
      </c>
      <c r="E133" s="70">
        <v>994099.19</v>
      </c>
      <c r="F133" s="37">
        <f t="shared" si="242"/>
        <v>978266.45</v>
      </c>
      <c r="G133" s="70">
        <v>1123105.6599999999</v>
      </c>
      <c r="H133" s="37">
        <f t="shared" si="243"/>
        <v>1104822.57</v>
      </c>
      <c r="I133" s="22">
        <v>1243436.25</v>
      </c>
      <c r="J133" s="37">
        <f t="shared" si="244"/>
        <v>1223628.23</v>
      </c>
      <c r="K133" s="22">
        <v>1052433.67</v>
      </c>
      <c r="L133" s="37">
        <f t="shared" si="245"/>
        <v>1035833.1</v>
      </c>
      <c r="M133" s="22">
        <v>1032496.67</v>
      </c>
      <c r="N133" s="37">
        <f t="shared" si="246"/>
        <v>1016070.11</v>
      </c>
      <c r="O133" s="115">
        <v>774783.88</v>
      </c>
      <c r="P133" s="37">
        <f t="shared" si="247"/>
        <v>762315.14</v>
      </c>
      <c r="Q133" s="22">
        <v>910098.1</v>
      </c>
      <c r="R133" s="37">
        <f t="shared" si="248"/>
        <v>895534.66</v>
      </c>
      <c r="S133" s="22">
        <v>710968.8</v>
      </c>
      <c r="T133" s="37">
        <f t="shared" si="249"/>
        <v>699428.96</v>
      </c>
      <c r="U133" s="22">
        <v>815592.17</v>
      </c>
      <c r="V133" s="37">
        <f t="shared" si="250"/>
        <v>802607.31</v>
      </c>
      <c r="W133" s="22">
        <v>917844.95</v>
      </c>
      <c r="X133" s="37">
        <f t="shared" si="251"/>
        <v>903258.26</v>
      </c>
      <c r="Y133" s="22">
        <v>926571.41</v>
      </c>
      <c r="Z133" s="37">
        <f t="shared" si="252"/>
        <v>911751.21</v>
      </c>
      <c r="AA133" s="260"/>
      <c r="AB133" s="261">
        <f t="shared" si="253"/>
        <v>11349744.16</v>
      </c>
      <c r="AC133" s="37">
        <f t="shared" si="254"/>
        <v>11534111.039999999</v>
      </c>
    </row>
    <row r="134" spans="1:29" x14ac:dyDescent="0.2">
      <c r="A134" s="9" t="s">
        <v>65</v>
      </c>
      <c r="C134" s="22">
        <v>798288.16</v>
      </c>
      <c r="D134" s="37">
        <f t="shared" si="241"/>
        <v>785570.25</v>
      </c>
      <c r="E134" s="70">
        <v>979529.31</v>
      </c>
      <c r="F134" s="37">
        <f t="shared" si="242"/>
        <v>963928.63</v>
      </c>
      <c r="G134" s="261">
        <v>901090.87</v>
      </c>
      <c r="H134" s="37">
        <f t="shared" si="243"/>
        <v>886421.97</v>
      </c>
      <c r="I134" s="22">
        <v>834520.22</v>
      </c>
      <c r="J134" s="37">
        <f t="shared" si="244"/>
        <v>821226.26</v>
      </c>
      <c r="K134" s="22">
        <v>817093.24</v>
      </c>
      <c r="L134" s="37">
        <f t="shared" si="245"/>
        <v>804204.81</v>
      </c>
      <c r="M134" s="22">
        <v>860648.24</v>
      </c>
      <c r="N134" s="37">
        <f t="shared" si="246"/>
        <v>846955.71</v>
      </c>
      <c r="O134" s="115">
        <v>722831.31</v>
      </c>
      <c r="P134" s="37">
        <f t="shared" si="247"/>
        <v>711198.65</v>
      </c>
      <c r="Q134" s="22">
        <v>869943.94</v>
      </c>
      <c r="R134" s="37">
        <f t="shared" si="248"/>
        <v>856023.04000000004</v>
      </c>
      <c r="S134" s="22">
        <v>749311.94</v>
      </c>
      <c r="T134" s="37">
        <f t="shared" si="249"/>
        <v>737149.75</v>
      </c>
      <c r="U134" s="22">
        <v>756506.54</v>
      </c>
      <c r="V134" s="37">
        <f t="shared" si="250"/>
        <v>744462.37</v>
      </c>
      <c r="W134" s="22">
        <v>762858.56</v>
      </c>
      <c r="X134" s="37">
        <f t="shared" si="251"/>
        <v>750734.96</v>
      </c>
      <c r="Y134" s="22">
        <v>719297.2</v>
      </c>
      <c r="Z134" s="37">
        <f t="shared" si="252"/>
        <v>707792.28</v>
      </c>
      <c r="AA134" s="260"/>
      <c r="AB134" s="261">
        <f t="shared" si="253"/>
        <v>9615668.6799999997</v>
      </c>
      <c r="AC134" s="37">
        <f t="shared" si="254"/>
        <v>9771919.5299999993</v>
      </c>
    </row>
    <row r="135" spans="1:29" x14ac:dyDescent="0.2">
      <c r="A135" s="9" t="s">
        <v>62</v>
      </c>
      <c r="C135" s="22">
        <v>0</v>
      </c>
      <c r="D135" s="37">
        <f t="shared" si="241"/>
        <v>0</v>
      </c>
      <c r="E135" s="37">
        <v>0</v>
      </c>
      <c r="F135" s="37">
        <f t="shared" si="242"/>
        <v>0</v>
      </c>
      <c r="G135" s="37">
        <v>0</v>
      </c>
      <c r="H135" s="37">
        <f t="shared" si="243"/>
        <v>0</v>
      </c>
      <c r="I135" s="22">
        <v>0</v>
      </c>
      <c r="J135" s="37">
        <f t="shared" si="244"/>
        <v>0</v>
      </c>
      <c r="K135" s="22">
        <v>0</v>
      </c>
      <c r="L135" s="37">
        <f t="shared" si="245"/>
        <v>0</v>
      </c>
      <c r="M135" s="37">
        <v>0</v>
      </c>
      <c r="N135" s="37">
        <f t="shared" si="246"/>
        <v>0</v>
      </c>
      <c r="O135" s="115">
        <v>0</v>
      </c>
      <c r="P135" s="37">
        <f t="shared" si="247"/>
        <v>0</v>
      </c>
      <c r="Q135" s="22">
        <v>0</v>
      </c>
      <c r="R135" s="37">
        <f t="shared" si="248"/>
        <v>0</v>
      </c>
      <c r="S135" s="37">
        <v>0</v>
      </c>
      <c r="T135" s="37">
        <f t="shared" si="249"/>
        <v>0</v>
      </c>
      <c r="U135" s="22">
        <v>0</v>
      </c>
      <c r="V135" s="37">
        <f t="shared" si="250"/>
        <v>0</v>
      </c>
      <c r="W135" s="22">
        <f>140.48+755.12</f>
        <v>895.6</v>
      </c>
      <c r="X135" s="37">
        <f t="shared" si="251"/>
        <v>881.37</v>
      </c>
      <c r="Y135" s="22">
        <v>0</v>
      </c>
      <c r="Z135" s="37">
        <f t="shared" si="252"/>
        <v>0</v>
      </c>
      <c r="AA135" s="260"/>
      <c r="AB135" s="261">
        <f t="shared" si="253"/>
        <v>881.37</v>
      </c>
      <c r="AC135" s="37">
        <f t="shared" si="254"/>
        <v>895.6</v>
      </c>
    </row>
    <row r="136" spans="1:29" x14ac:dyDescent="0.2">
      <c r="A136" s="9" t="s">
        <v>93</v>
      </c>
      <c r="C136" s="22">
        <f>18707.02+5371.75</f>
        <v>24078.77</v>
      </c>
      <c r="D136" s="37">
        <f>ROUND(C136+(C136/C$139*C$140),2)+0.01</f>
        <v>23695.17</v>
      </c>
      <c r="E136" s="70">
        <f>68935.57+4980.14</f>
        <v>73915.710000000006</v>
      </c>
      <c r="F136" s="37">
        <f>ROUND(E136+(E136/E$139*E$140),2)-0.02</f>
        <v>72738.459999999992</v>
      </c>
      <c r="G136" s="70">
        <f>39149.87+2876.36</f>
        <v>42026.23</v>
      </c>
      <c r="H136" s="37">
        <f t="shared" si="243"/>
        <v>41342.080000000002</v>
      </c>
      <c r="I136" s="22">
        <f>31872.91+7908.88</f>
        <v>39781.79</v>
      </c>
      <c r="J136" s="37">
        <f t="shared" si="244"/>
        <v>39148.06</v>
      </c>
      <c r="K136" s="22">
        <f>21723.59+5127.77</f>
        <v>26851.360000000001</v>
      </c>
      <c r="L136" s="37">
        <f t="shared" si="245"/>
        <v>26427.82</v>
      </c>
      <c r="M136" s="22">
        <f>31990.72+5245.65</f>
        <v>37236.370000000003</v>
      </c>
      <c r="N136" s="37">
        <f>ROUND(M136+(M136/M$139*M$140),2)-0.01</f>
        <v>36643.949999999997</v>
      </c>
      <c r="O136" s="115">
        <f>20657.96+5290.22</f>
        <v>25948.18</v>
      </c>
      <c r="P136" s="37">
        <f>ROUND(O136+(O136/O$139*O$140),2)+0.01</f>
        <v>25530.6</v>
      </c>
      <c r="Q136" s="22">
        <f>47169.19+4878.72</f>
        <v>52047.91</v>
      </c>
      <c r="R136" s="37">
        <f>ROUND(Q136+(Q136/Q$139*Q$140),2)</f>
        <v>51215.040000000001</v>
      </c>
      <c r="S136" s="22">
        <f>21862.61+5684.02</f>
        <v>27546.63</v>
      </c>
      <c r="T136" s="37">
        <f t="shared" si="249"/>
        <v>27099.52</v>
      </c>
      <c r="U136" s="22">
        <f>28488.12+5630.14</f>
        <v>34118.26</v>
      </c>
      <c r="V136" s="37">
        <f>ROUND(U136+(U136/U$139*U$140),2)+0.04</f>
        <v>33575.11</v>
      </c>
      <c r="W136" s="70">
        <f>173049.45+4908.71</f>
        <v>177958.16</v>
      </c>
      <c r="X136" s="37">
        <f t="shared" si="251"/>
        <v>175129.99</v>
      </c>
      <c r="Y136" s="22">
        <f>29465.36+4948.96</f>
        <v>34414.32</v>
      </c>
      <c r="Z136" s="37">
        <f t="shared" si="252"/>
        <v>33863.870000000003</v>
      </c>
      <c r="AA136" s="260"/>
      <c r="AB136" s="261">
        <f t="shared" si="253"/>
        <v>586409.66999999993</v>
      </c>
      <c r="AC136" s="37">
        <f t="shared" si="254"/>
        <v>595923.69000000006</v>
      </c>
    </row>
    <row r="137" spans="1:29" x14ac:dyDescent="0.2">
      <c r="A137" s="9" t="s">
        <v>67</v>
      </c>
      <c r="C137" s="22">
        <f>608724.74+245163.4</f>
        <v>853888.14</v>
      </c>
      <c r="D137" s="37">
        <f>ROUND(C137+(C137/C$139*C$140),2)</f>
        <v>840284.44</v>
      </c>
      <c r="E137" s="70">
        <f>618303.34+268698.44</f>
        <v>887001.78</v>
      </c>
      <c r="F137" s="37">
        <f>ROUND(E137+(E137/E$139*E$140),2)</f>
        <v>872874.75</v>
      </c>
      <c r="G137" s="70">
        <v>1055198.57</v>
      </c>
      <c r="H137" s="37">
        <f t="shared" si="243"/>
        <v>1038020.95</v>
      </c>
      <c r="I137" s="22">
        <f>627471.39+368128.13</f>
        <v>995599.52</v>
      </c>
      <c r="J137" s="37">
        <f>ROUND(I137+(I137/I$139*I$140),2)-0.01</f>
        <v>979739.55</v>
      </c>
      <c r="K137" s="22">
        <f>591191.06+213721.28</f>
        <v>804912.34000000008</v>
      </c>
      <c r="L137" s="37">
        <f t="shared" si="245"/>
        <v>792216.05</v>
      </c>
      <c r="M137" s="22">
        <f>641303.46+224079.73</f>
        <v>865383.19</v>
      </c>
      <c r="N137" s="37">
        <f>ROUND(M137+(M137/M$139*M$140),2)</f>
        <v>851615.33</v>
      </c>
      <c r="O137" s="115">
        <f>602451.77+230927.94</f>
        <v>833379.71</v>
      </c>
      <c r="P137" s="37">
        <f>ROUND(O137+(O137/O$139*O$140),2)</f>
        <v>819967.98</v>
      </c>
      <c r="Q137" s="22">
        <f>743512.29+236924.77</f>
        <v>980437.06</v>
      </c>
      <c r="R137" s="37">
        <f t="shared" si="248"/>
        <v>964748.05</v>
      </c>
      <c r="S137" s="22">
        <f>613976.33+225981.26</f>
        <v>839957.59</v>
      </c>
      <c r="T137" s="37">
        <f t="shared" si="249"/>
        <v>826324.12</v>
      </c>
      <c r="U137" s="22">
        <f>562688.61+236255.91</f>
        <v>798944.52</v>
      </c>
      <c r="V137" s="37">
        <f t="shared" si="250"/>
        <v>786224.7</v>
      </c>
      <c r="W137" s="22">
        <v>841421.51</v>
      </c>
      <c r="X137" s="37">
        <f t="shared" si="251"/>
        <v>828049.36</v>
      </c>
      <c r="Y137" s="22">
        <f>540918.01+309815.02</f>
        <v>850733.03</v>
      </c>
      <c r="Z137" s="37">
        <f>ROUND(Y137+(Y137/Y$139*Y$140),2)+0.01</f>
        <v>837125.85</v>
      </c>
      <c r="AA137" s="260"/>
      <c r="AB137" s="261">
        <f t="shared" si="253"/>
        <v>10437191.129999997</v>
      </c>
      <c r="AC137" s="37">
        <f t="shared" si="254"/>
        <v>10606856.959999999</v>
      </c>
    </row>
    <row r="138" spans="1:29" x14ac:dyDescent="0.2">
      <c r="A138" s="9" t="s">
        <v>97</v>
      </c>
      <c r="C138" s="115">
        <v>19173.240000000002</v>
      </c>
      <c r="D138" s="37">
        <f>ROUND(C138+(C138/C$139*C$140),2)</f>
        <v>18867.78</v>
      </c>
      <c r="E138" s="71">
        <v>19978.59</v>
      </c>
      <c r="F138" s="37">
        <f>ROUND(E138+(E138/E$139*E$140),2)</f>
        <v>19660.400000000001</v>
      </c>
      <c r="G138" s="71">
        <v>19696.330000000002</v>
      </c>
      <c r="H138" s="37">
        <f t="shared" si="243"/>
        <v>19375.689999999999</v>
      </c>
      <c r="I138" s="22">
        <v>22189.63</v>
      </c>
      <c r="J138" s="37">
        <f>ROUND(I138+(I138/I$139*I$140),2)</f>
        <v>21836.15</v>
      </c>
      <c r="K138" s="22">
        <v>19871.16</v>
      </c>
      <c r="L138" s="37">
        <f t="shared" si="245"/>
        <v>19557.72</v>
      </c>
      <c r="M138" s="22">
        <v>19726.71</v>
      </c>
      <c r="N138" s="37">
        <f>ROUND(M138+(M138/M$139*M$140),2)</f>
        <v>19412.87</v>
      </c>
      <c r="O138" s="115">
        <v>30719.5</v>
      </c>
      <c r="P138" s="37">
        <f>ROUND(O138+(O138/O$139*O$140),2)</f>
        <v>30225.13</v>
      </c>
      <c r="Q138" s="22">
        <v>38071.9</v>
      </c>
      <c r="R138" s="37">
        <f t="shared" si="248"/>
        <v>37462.67</v>
      </c>
      <c r="S138" s="107">
        <v>28753.360000000001</v>
      </c>
      <c r="T138" s="37">
        <f t="shared" si="249"/>
        <v>28286.66</v>
      </c>
      <c r="U138" s="22">
        <v>32236.33</v>
      </c>
      <c r="V138" s="37">
        <f t="shared" si="250"/>
        <v>31723.1</v>
      </c>
      <c r="W138" s="107">
        <v>34618.449999999997</v>
      </c>
      <c r="X138" s="37">
        <f t="shared" si="251"/>
        <v>34068.28</v>
      </c>
      <c r="Y138" s="22">
        <v>32965.870000000003</v>
      </c>
      <c r="Z138" s="37">
        <f t="shared" si="252"/>
        <v>32438.59</v>
      </c>
      <c r="AA138" s="260"/>
      <c r="AB138" s="261">
        <f t="shared" si="253"/>
        <v>312915.03999999998</v>
      </c>
      <c r="AC138" s="262">
        <f t="shared" si="254"/>
        <v>318001.07</v>
      </c>
    </row>
    <row r="139" spans="1:29" x14ac:dyDescent="0.2">
      <c r="A139" s="263" t="s">
        <v>44</v>
      </c>
      <c r="C139" s="34">
        <f>SUM(C116:C138)</f>
        <v>8101534.129999999</v>
      </c>
      <c r="D139" s="34">
        <f>SUM(D116:D138)</f>
        <v>7972464.6900000004</v>
      </c>
      <c r="E139" s="34">
        <f t="shared" ref="E139:L139" si="255">+SUM(E116:E138)</f>
        <v>8442173.6099999994</v>
      </c>
      <c r="F139" s="34">
        <f t="shared" si="255"/>
        <v>8307717.5099999998</v>
      </c>
      <c r="G139" s="34">
        <f t="shared" si="255"/>
        <v>8517165.6500000022</v>
      </c>
      <c r="H139" s="34">
        <f t="shared" si="255"/>
        <v>8378514.3200000003</v>
      </c>
      <c r="I139" s="34">
        <f t="shared" si="255"/>
        <v>9410022.3699999992</v>
      </c>
      <c r="J139" s="34">
        <f t="shared" si="255"/>
        <v>9260120.1099999994</v>
      </c>
      <c r="K139" s="34">
        <f t="shared" si="255"/>
        <v>8327251.7899999991</v>
      </c>
      <c r="L139" s="34">
        <f t="shared" si="255"/>
        <v>8195901.7999999989</v>
      </c>
      <c r="M139" s="72">
        <f>SUM(M116:M138)</f>
        <v>8331645.7800000003</v>
      </c>
      <c r="N139" s="72">
        <f>SUM(N116:N138)</f>
        <v>8199093.0000000009</v>
      </c>
      <c r="O139" s="72">
        <f t="shared" ref="O139" si="256">SUM(O116:O138)</f>
        <v>7207019.6399999997</v>
      </c>
      <c r="P139" s="72">
        <f>SUM(P116:P138)</f>
        <v>7091035.7599999988</v>
      </c>
      <c r="Q139" s="72">
        <f t="shared" ref="Q139:Z139" si="257">SUM(Q116:Q138)</f>
        <v>8874722.8900000006</v>
      </c>
      <c r="R139" s="72">
        <f t="shared" si="257"/>
        <v>8732709.0600000005</v>
      </c>
      <c r="S139" s="72">
        <f t="shared" si="257"/>
        <v>6815981.25</v>
      </c>
      <c r="T139" s="72">
        <f t="shared" si="257"/>
        <v>6705350.0799999991</v>
      </c>
      <c r="U139" s="72">
        <f t="shared" si="257"/>
        <v>7508968.0199999996</v>
      </c>
      <c r="V139" s="72">
        <f t="shared" si="257"/>
        <v>7389419.4300000006</v>
      </c>
      <c r="W139" s="72">
        <f>SUM(W116:W138)</f>
        <v>8031902.4299999988</v>
      </c>
      <c r="X139" s="72">
        <f t="shared" si="257"/>
        <v>7904256.8100000005</v>
      </c>
      <c r="Y139" s="72">
        <f t="shared" si="257"/>
        <v>7712626.4300000016</v>
      </c>
      <c r="Z139" s="72">
        <f t="shared" si="257"/>
        <v>7589265.54</v>
      </c>
      <c r="AA139" s="260"/>
      <c r="AB139" s="261">
        <f>SUM(AB116:AB138)</f>
        <v>95725848.110000014</v>
      </c>
      <c r="AC139" s="261">
        <f>SUM(AC116:AC138)</f>
        <v>97281013.989999965</v>
      </c>
    </row>
    <row r="140" spans="1:29" x14ac:dyDescent="0.2">
      <c r="A140" s="264" t="s">
        <v>45</v>
      </c>
      <c r="B140" s="36"/>
      <c r="C140" s="35">
        <v>-129069.44</v>
      </c>
      <c r="D140" s="36"/>
      <c r="E140" s="73">
        <v>-134456.1</v>
      </c>
      <c r="F140" s="74"/>
      <c r="G140" s="73">
        <v>-138651.32</v>
      </c>
      <c r="H140" s="74"/>
      <c r="I140" s="35">
        <v>-149902.26</v>
      </c>
      <c r="J140" s="36"/>
      <c r="K140" s="35">
        <v>-131349.99</v>
      </c>
      <c r="L140" s="36"/>
      <c r="M140" s="35">
        <v>-132552.78</v>
      </c>
      <c r="N140" s="36"/>
      <c r="O140" s="35">
        <v>-115983.88</v>
      </c>
      <c r="P140" s="36"/>
      <c r="Q140" s="35">
        <v>-142013.85</v>
      </c>
      <c r="R140" s="36"/>
      <c r="S140" s="35">
        <v>-110631.17</v>
      </c>
      <c r="T140" s="36"/>
      <c r="U140" s="35">
        <v>-119548.59</v>
      </c>
      <c r="V140" s="36"/>
      <c r="W140" s="35">
        <v>-127645.63</v>
      </c>
      <c r="X140" s="36"/>
      <c r="Y140" s="35">
        <v>-123360.89</v>
      </c>
      <c r="Z140" s="36"/>
      <c r="AA140" s="36"/>
      <c r="AB140" s="261"/>
      <c r="AC140" s="262">
        <f>+C140+E140+G140+I140+K140+M140+O140+Q140+S140+U140+W140+Y140</f>
        <v>-1555165.9000000001</v>
      </c>
    </row>
    <row r="141" spans="1:29" x14ac:dyDescent="0.2">
      <c r="A141" s="263" t="s">
        <v>27</v>
      </c>
      <c r="C141" s="22">
        <f>+C139+C140</f>
        <v>7972464.6899999985</v>
      </c>
      <c r="D141" s="22"/>
      <c r="E141" s="22">
        <f>E139+E140</f>
        <v>8307717.5099999998</v>
      </c>
      <c r="F141" s="70"/>
      <c r="G141" s="22">
        <f>+G139+G140</f>
        <v>8378514.3300000019</v>
      </c>
      <c r="H141" s="70"/>
      <c r="I141" s="22">
        <f>+I139+I140</f>
        <v>9260120.1099999994</v>
      </c>
      <c r="J141" s="22"/>
      <c r="K141" s="22">
        <f>+K139+K140</f>
        <v>8195901.7999999989</v>
      </c>
      <c r="L141" s="22"/>
      <c r="M141" s="22">
        <f>+M139+M140</f>
        <v>8199093</v>
      </c>
      <c r="N141" s="22"/>
      <c r="O141" s="22">
        <f>+O139+O140</f>
        <v>7091035.7599999998</v>
      </c>
      <c r="P141" s="22"/>
      <c r="Q141" s="22">
        <f>+Q139+Q140</f>
        <v>8732709.040000001</v>
      </c>
      <c r="R141" s="22"/>
      <c r="S141" s="22">
        <f>+S139+S140</f>
        <v>6705350.0800000001</v>
      </c>
      <c r="T141" s="22"/>
      <c r="U141" s="22">
        <f>+U139+U140</f>
        <v>7389419.4299999997</v>
      </c>
      <c r="V141" s="22"/>
      <c r="W141" s="22">
        <f>+W139+W140</f>
        <v>7904256.7999999989</v>
      </c>
      <c r="X141" s="22"/>
      <c r="Y141" s="22">
        <f>+Y139+Y140</f>
        <v>7589265.5400000019</v>
      </c>
      <c r="Z141" s="22"/>
      <c r="AC141" s="265">
        <f>SUM(AC139:AC140)</f>
        <v>95725848.089999959</v>
      </c>
    </row>
    <row r="142" spans="1:29" x14ac:dyDescent="0.2">
      <c r="A142" s="266" t="s">
        <v>130</v>
      </c>
      <c r="C142" s="107">
        <v>7972464.6900000004</v>
      </c>
      <c r="D142" s="22"/>
      <c r="E142" s="212">
        <v>8307717.5099999998</v>
      </c>
      <c r="F142" s="40"/>
      <c r="G142" s="212">
        <v>8378514.3300000001</v>
      </c>
      <c r="H142" s="40"/>
      <c r="I142" s="262">
        <v>9260120.1099999994</v>
      </c>
      <c r="K142" s="262">
        <v>8195901.7999999998</v>
      </c>
      <c r="M142" s="37">
        <v>8199093</v>
      </c>
      <c r="O142" s="48">
        <v>7091035.7599999998</v>
      </c>
      <c r="Q142" s="37">
        <v>8732709.0399999991</v>
      </c>
      <c r="S142" s="37">
        <v>6705350.0800000001</v>
      </c>
      <c r="U142" s="37">
        <v>7389419.4299999997</v>
      </c>
      <c r="W142" s="37">
        <v>7904256.7999999998</v>
      </c>
      <c r="Y142" s="37">
        <v>7589265.54</v>
      </c>
    </row>
    <row r="143" spans="1:29" x14ac:dyDescent="0.2">
      <c r="A143" s="266" t="s">
        <v>21</v>
      </c>
      <c r="C143" s="22">
        <f>+C141-C142</f>
        <v>0</v>
      </c>
      <c r="D143" s="22"/>
      <c r="E143" s="22">
        <f>E141-E142</f>
        <v>0</v>
      </c>
      <c r="F143" s="40"/>
      <c r="G143" s="22">
        <f>+G141-G142</f>
        <v>0</v>
      </c>
      <c r="H143" s="40"/>
      <c r="I143" s="22">
        <f>+I141-I142</f>
        <v>0</v>
      </c>
      <c r="K143" s="37">
        <f>+K141-K142</f>
        <v>0</v>
      </c>
      <c r="M143" s="37">
        <f>+M141-M142</f>
        <v>0</v>
      </c>
      <c r="O143" s="37">
        <f>+O141-O142</f>
        <v>0</v>
      </c>
      <c r="Q143" s="37">
        <f>+Q141-Q142</f>
        <v>0</v>
      </c>
      <c r="S143" s="37">
        <f>+S141-S142</f>
        <v>0</v>
      </c>
      <c r="U143" s="37">
        <f>+U141-U142</f>
        <v>0</v>
      </c>
      <c r="W143" s="37">
        <f>+W141-W142</f>
        <v>0</v>
      </c>
      <c r="Y143" s="37">
        <f>+Y141-Y142</f>
        <v>0</v>
      </c>
      <c r="Z143" s="37">
        <f>+Z139-Y142</f>
        <v>0</v>
      </c>
    </row>
    <row r="144" spans="1:29" x14ac:dyDescent="0.2">
      <c r="A144" s="9" t="s">
        <v>92</v>
      </c>
      <c r="C144" s="22"/>
      <c r="E144" s="40"/>
      <c r="F144" s="40"/>
      <c r="G144" s="40"/>
      <c r="H144" s="40"/>
    </row>
    <row r="145" spans="1:29" ht="15" x14ac:dyDescent="0.2">
      <c r="B145" s="60"/>
      <c r="E145" s="47"/>
      <c r="F145" s="47"/>
      <c r="G145" s="47"/>
      <c r="W145" s="301" t="s">
        <v>153</v>
      </c>
    </row>
    <row r="146" spans="1:29" ht="15" x14ac:dyDescent="0.2">
      <c r="B146" s="60"/>
      <c r="E146" s="47"/>
      <c r="F146" s="47"/>
      <c r="G146" s="47"/>
      <c r="W146" s="301" t="s">
        <v>154</v>
      </c>
    </row>
    <row r="147" spans="1:29" ht="15" x14ac:dyDescent="0.2">
      <c r="A147" s="9" t="s">
        <v>0</v>
      </c>
      <c r="E147" s="47"/>
      <c r="F147" s="47"/>
      <c r="G147" s="47"/>
    </row>
    <row r="148" spans="1:29" ht="15" x14ac:dyDescent="0.2">
      <c r="A148" s="9" t="s">
        <v>83</v>
      </c>
      <c r="E148" s="47"/>
      <c r="F148" s="47"/>
      <c r="G148" s="47"/>
    </row>
    <row r="149" spans="1:29" ht="15" x14ac:dyDescent="0.2">
      <c r="A149" s="20" t="s">
        <v>140</v>
      </c>
      <c r="N149" s="9"/>
      <c r="O149" s="47"/>
      <c r="P149" s="47"/>
      <c r="Q149" s="20"/>
    </row>
    <row r="150" spans="1:29" x14ac:dyDescent="0.2">
      <c r="A150" s="259"/>
      <c r="B150" s="259"/>
      <c r="C150" s="38" t="s">
        <v>28</v>
      </c>
      <c r="D150" s="38" t="s">
        <v>29</v>
      </c>
      <c r="E150" s="38" t="s">
        <v>28</v>
      </c>
      <c r="F150" s="38" t="s">
        <v>29</v>
      </c>
      <c r="G150" s="38" t="s">
        <v>28</v>
      </c>
      <c r="H150" s="38" t="s">
        <v>29</v>
      </c>
      <c r="I150" s="38" t="s">
        <v>28</v>
      </c>
      <c r="J150" s="38" t="s">
        <v>29</v>
      </c>
      <c r="K150" s="38" t="s">
        <v>28</v>
      </c>
      <c r="L150" s="38" t="s">
        <v>29</v>
      </c>
      <c r="M150" s="38" t="s">
        <v>28</v>
      </c>
      <c r="N150" s="38" t="s">
        <v>29</v>
      </c>
      <c r="O150" s="38" t="s">
        <v>28</v>
      </c>
      <c r="P150" s="38" t="s">
        <v>29</v>
      </c>
      <c r="Q150" s="38" t="s">
        <v>28</v>
      </c>
      <c r="R150" s="38" t="s">
        <v>29</v>
      </c>
      <c r="S150" s="38" t="s">
        <v>28</v>
      </c>
      <c r="T150" s="38" t="s">
        <v>29</v>
      </c>
      <c r="U150" s="38" t="s">
        <v>28</v>
      </c>
      <c r="V150" s="38" t="s">
        <v>29</v>
      </c>
      <c r="W150" s="38" t="s">
        <v>28</v>
      </c>
      <c r="X150" s="38" t="s">
        <v>29</v>
      </c>
      <c r="Y150" s="38" t="s">
        <v>28</v>
      </c>
      <c r="Z150" s="38" t="s">
        <v>29</v>
      </c>
      <c r="AA150" s="38"/>
      <c r="AB150" s="38"/>
    </row>
    <row r="151" spans="1:29" x14ac:dyDescent="0.2">
      <c r="A151" s="9" t="s">
        <v>30</v>
      </c>
      <c r="C151" s="37"/>
      <c r="D151" s="38" t="s">
        <v>84</v>
      </c>
      <c r="F151" s="38" t="s">
        <v>84</v>
      </c>
      <c r="H151" s="38" t="s">
        <v>84</v>
      </c>
      <c r="J151" s="38" t="s">
        <v>84</v>
      </c>
      <c r="L151" s="38" t="s">
        <v>84</v>
      </c>
      <c r="N151" s="38" t="s">
        <v>84</v>
      </c>
      <c r="P151" s="38" t="s">
        <v>84</v>
      </c>
      <c r="R151" s="38" t="s">
        <v>84</v>
      </c>
      <c r="T151" s="38" t="s">
        <v>84</v>
      </c>
      <c r="V151" s="38" t="s">
        <v>84</v>
      </c>
      <c r="X151" s="38" t="s">
        <v>84</v>
      </c>
      <c r="Z151" s="38" t="s">
        <v>84</v>
      </c>
    </row>
    <row r="152" spans="1:29" x14ac:dyDescent="0.2">
      <c r="A152" s="24"/>
      <c r="B152" s="24"/>
      <c r="C152" s="49" t="s">
        <v>32</v>
      </c>
      <c r="D152" s="49" t="s">
        <v>31</v>
      </c>
      <c r="E152" s="49" t="s">
        <v>33</v>
      </c>
      <c r="F152" s="49" t="s">
        <v>31</v>
      </c>
      <c r="G152" s="49" t="s">
        <v>34</v>
      </c>
      <c r="H152" s="49" t="s">
        <v>31</v>
      </c>
      <c r="I152" s="49" t="s">
        <v>35</v>
      </c>
      <c r="J152" s="26" t="s">
        <v>31</v>
      </c>
      <c r="K152" s="49" t="s">
        <v>36</v>
      </c>
      <c r="L152" s="26" t="s">
        <v>31</v>
      </c>
      <c r="M152" s="26" t="s">
        <v>37</v>
      </c>
      <c r="N152" s="26" t="s">
        <v>31</v>
      </c>
      <c r="O152" s="26" t="s">
        <v>38</v>
      </c>
      <c r="P152" s="26" t="s">
        <v>31</v>
      </c>
      <c r="Q152" s="26" t="s">
        <v>39</v>
      </c>
      <c r="R152" s="26" t="s">
        <v>31</v>
      </c>
      <c r="S152" s="26" t="s">
        <v>40</v>
      </c>
      <c r="T152" s="26" t="s">
        <v>31</v>
      </c>
      <c r="U152" s="26" t="s">
        <v>41</v>
      </c>
      <c r="V152" s="26" t="s">
        <v>31</v>
      </c>
      <c r="W152" s="26" t="s">
        <v>42</v>
      </c>
      <c r="X152" s="26" t="s">
        <v>31</v>
      </c>
      <c r="Y152" s="26" t="s">
        <v>43</v>
      </c>
      <c r="Z152" s="26" t="s">
        <v>31</v>
      </c>
      <c r="AA152" s="26"/>
      <c r="AB152" s="26" t="s">
        <v>124</v>
      </c>
      <c r="AC152" s="26" t="s">
        <v>125</v>
      </c>
    </row>
    <row r="153" spans="1:29" x14ac:dyDescent="0.2">
      <c r="A153" s="9" t="s">
        <v>48</v>
      </c>
      <c r="C153" s="22">
        <v>49421.919999999998</v>
      </c>
      <c r="D153" s="37">
        <f t="shared" ref="D153:P172" si="258">ROUND(C153+(C153/C$176*C$177),2)</f>
        <v>48619.13</v>
      </c>
      <c r="E153" s="70">
        <v>30977.01</v>
      </c>
      <c r="F153" s="37">
        <f t="shared" si="258"/>
        <v>30485.55</v>
      </c>
      <c r="G153" s="70">
        <v>23717.66</v>
      </c>
      <c r="H153" s="37">
        <f t="shared" si="258"/>
        <v>23338.09</v>
      </c>
      <c r="I153" s="22">
        <v>17534.63</v>
      </c>
      <c r="J153" s="37">
        <f t="shared" si="258"/>
        <v>17255.650000000001</v>
      </c>
      <c r="K153" s="22">
        <v>8075.87</v>
      </c>
      <c r="L153" s="37">
        <f t="shared" si="258"/>
        <v>7947.55</v>
      </c>
      <c r="M153" s="37">
        <v>6246.52</v>
      </c>
      <c r="N153" s="37">
        <f t="shared" si="258"/>
        <v>6146.56</v>
      </c>
      <c r="O153" s="34">
        <v>6622.21</v>
      </c>
      <c r="P153" s="37">
        <f t="shared" si="258"/>
        <v>6515.51</v>
      </c>
      <c r="Q153" s="22">
        <v>7676.8</v>
      </c>
      <c r="R153" s="37">
        <f>ROUND(Q153+(Q153/Q$176*Q$177),2)</f>
        <v>7553.64</v>
      </c>
      <c r="S153" s="22">
        <v>3120.37</v>
      </c>
      <c r="T153" s="37">
        <f>ROUND(S153+(S153/S$176*S$177),2)</f>
        <v>3065.97</v>
      </c>
      <c r="U153" s="22">
        <v>3305.42</v>
      </c>
      <c r="V153" s="37">
        <f>ROUND(U153+(U153/U$176*U$177),2)</f>
        <v>3252.01</v>
      </c>
      <c r="W153" s="22">
        <v>8252.5499999999993</v>
      </c>
      <c r="X153" s="37">
        <f>ROUND(W153+(W153/W$176*W$177),2)</f>
        <v>8118.58</v>
      </c>
      <c r="Y153" s="22">
        <v>12802.75</v>
      </c>
      <c r="Z153" s="37">
        <f>ROUND(Y153+(Y153/Y$176*Y$177),2)</f>
        <v>12596.52</v>
      </c>
      <c r="AA153" s="260"/>
      <c r="AB153" s="261">
        <f t="shared" ref="AB153:AB175" si="259">+D153+F153+H153+J153+L153+N153+P153+R153+T153+V153+X153+Z153</f>
        <v>174894.76</v>
      </c>
      <c r="AC153" s="37">
        <f t="shared" ref="AC153:AC175" si="260">+C153+E153+G153+I153+K153+M153+O153+Q153+S153+U153+W153+Y153</f>
        <v>177753.70999999996</v>
      </c>
    </row>
    <row r="154" spans="1:29" x14ac:dyDescent="0.2">
      <c r="A154" s="9" t="s">
        <v>22</v>
      </c>
      <c r="C154" s="22">
        <v>0</v>
      </c>
      <c r="D154" s="37">
        <f t="shared" si="258"/>
        <v>0</v>
      </c>
      <c r="E154" s="70">
        <v>1219.56</v>
      </c>
      <c r="F154" s="37">
        <f t="shared" si="258"/>
        <v>1200.21</v>
      </c>
      <c r="G154" s="70">
        <v>0</v>
      </c>
      <c r="H154" s="37">
        <f t="shared" si="258"/>
        <v>0</v>
      </c>
      <c r="I154" s="22">
        <v>0</v>
      </c>
      <c r="J154" s="37">
        <f t="shared" si="258"/>
        <v>0</v>
      </c>
      <c r="K154" s="22">
        <v>824.29</v>
      </c>
      <c r="L154" s="37">
        <f t="shared" si="258"/>
        <v>811.19</v>
      </c>
      <c r="M154" s="37">
        <v>0</v>
      </c>
      <c r="N154" s="37">
        <f t="shared" si="258"/>
        <v>0</v>
      </c>
      <c r="O154" s="22">
        <v>1986.06</v>
      </c>
      <c r="P154" s="37">
        <f t="shared" si="258"/>
        <v>1954.06</v>
      </c>
      <c r="Q154" s="22">
        <v>0</v>
      </c>
      <c r="R154" s="37">
        <f t="shared" ref="R154:R175" si="261">ROUND(Q154+(Q154/Q$176*Q$177),2)</f>
        <v>0</v>
      </c>
      <c r="S154" s="22">
        <v>0</v>
      </c>
      <c r="T154" s="37">
        <f t="shared" ref="T154:T175" si="262">ROUND(S154+(S154/S$176*S$177),2)</f>
        <v>0</v>
      </c>
      <c r="U154" s="22">
        <v>0</v>
      </c>
      <c r="V154" s="37">
        <f t="shared" ref="V154:V175" si="263">ROUND(U154+(U154/U$176*U$177),2)</f>
        <v>0</v>
      </c>
      <c r="W154" s="22">
        <v>0</v>
      </c>
      <c r="X154" s="37">
        <f t="shared" ref="X154:X175" si="264">ROUND(W154+(W154/W$176*W$177),2)</f>
        <v>0</v>
      </c>
      <c r="Y154" s="22">
        <v>0</v>
      </c>
      <c r="Z154" s="37">
        <f t="shared" ref="Z154:Z175" si="265">ROUND(Y154+(Y154/Y$176*Y$177),2)</f>
        <v>0</v>
      </c>
      <c r="AA154" s="260"/>
      <c r="AB154" s="261">
        <f t="shared" si="259"/>
        <v>3965.46</v>
      </c>
      <c r="AC154" s="37">
        <f t="shared" si="260"/>
        <v>4029.91</v>
      </c>
    </row>
    <row r="155" spans="1:29" x14ac:dyDescent="0.2">
      <c r="A155" s="9" t="s">
        <v>49</v>
      </c>
      <c r="C155" s="22">
        <v>163182.29999999999</v>
      </c>
      <c r="D155" s="37">
        <f t="shared" si="258"/>
        <v>160531.63</v>
      </c>
      <c r="E155" s="70">
        <v>170829.6</v>
      </c>
      <c r="F155" s="37">
        <f t="shared" si="258"/>
        <v>168119.32</v>
      </c>
      <c r="G155" s="261">
        <v>203822.93</v>
      </c>
      <c r="H155" s="37">
        <f t="shared" si="258"/>
        <v>200561.02</v>
      </c>
      <c r="I155" s="22">
        <v>206363.46</v>
      </c>
      <c r="J155" s="37">
        <f t="shared" si="258"/>
        <v>203080.18</v>
      </c>
      <c r="K155" s="22">
        <v>191382.78</v>
      </c>
      <c r="L155" s="37">
        <f t="shared" si="258"/>
        <v>188341.74</v>
      </c>
      <c r="M155" s="37">
        <v>168841.34</v>
      </c>
      <c r="N155" s="37">
        <f t="shared" si="258"/>
        <v>166139.51</v>
      </c>
      <c r="O155" s="22">
        <v>188478.58</v>
      </c>
      <c r="P155" s="37">
        <f t="shared" si="258"/>
        <v>185441.79</v>
      </c>
      <c r="Q155" s="22">
        <v>238607.92</v>
      </c>
      <c r="R155" s="37">
        <f t="shared" si="261"/>
        <v>234779.89</v>
      </c>
      <c r="S155" s="22">
        <v>309647.08</v>
      </c>
      <c r="T155" s="37">
        <f t="shared" si="262"/>
        <v>304248.53000000003</v>
      </c>
      <c r="U155" s="22">
        <v>124102.76</v>
      </c>
      <c r="V155" s="37">
        <f t="shared" si="263"/>
        <v>122097.64</v>
      </c>
      <c r="W155" s="22">
        <v>489273.72</v>
      </c>
      <c r="X155" s="37">
        <f t="shared" si="264"/>
        <v>481331.11</v>
      </c>
      <c r="Y155" s="22">
        <v>205801.59</v>
      </c>
      <c r="Z155" s="37">
        <f t="shared" si="265"/>
        <v>202486.43</v>
      </c>
      <c r="AA155" s="260"/>
      <c r="AB155" s="261">
        <f t="shared" si="259"/>
        <v>2617158.79</v>
      </c>
      <c r="AC155" s="37">
        <f t="shared" si="260"/>
        <v>2660334.06</v>
      </c>
    </row>
    <row r="156" spans="1:29" x14ac:dyDescent="0.2">
      <c r="A156" s="9" t="s">
        <v>23</v>
      </c>
      <c r="C156" s="22">
        <v>625192.74</v>
      </c>
      <c r="D156" s="37">
        <f t="shared" si="258"/>
        <v>615037.37</v>
      </c>
      <c r="E156" s="70">
        <v>758341.84</v>
      </c>
      <c r="F156" s="37">
        <f t="shared" si="258"/>
        <v>746310.46</v>
      </c>
      <c r="G156" s="70">
        <v>724881.14</v>
      </c>
      <c r="H156" s="37">
        <f t="shared" si="258"/>
        <v>713280.39</v>
      </c>
      <c r="I156" s="22">
        <v>933412.29</v>
      </c>
      <c r="J156" s="37">
        <f t="shared" si="258"/>
        <v>918561.54</v>
      </c>
      <c r="K156" s="22">
        <v>625237</v>
      </c>
      <c r="L156" s="37">
        <f t="shared" si="258"/>
        <v>615302.1</v>
      </c>
      <c r="M156" s="37">
        <v>814543.64</v>
      </c>
      <c r="N156" s="37">
        <f t="shared" si="258"/>
        <v>801509.14</v>
      </c>
      <c r="O156" s="22">
        <v>741709.02</v>
      </c>
      <c r="P156" s="37">
        <f t="shared" si="258"/>
        <v>729758.5</v>
      </c>
      <c r="Q156" s="22">
        <v>796915.59</v>
      </c>
      <c r="R156" s="37">
        <f t="shared" si="261"/>
        <v>784130.54</v>
      </c>
      <c r="S156" s="22">
        <v>597309.62</v>
      </c>
      <c r="T156" s="37">
        <f t="shared" si="262"/>
        <v>586895.81000000006</v>
      </c>
      <c r="U156" s="22">
        <v>530782.93999999994</v>
      </c>
      <c r="V156" s="37">
        <f t="shared" si="263"/>
        <v>522207.11</v>
      </c>
      <c r="W156" s="22">
        <v>714817.62</v>
      </c>
      <c r="X156" s="37">
        <f t="shared" si="264"/>
        <v>703213.65</v>
      </c>
      <c r="Y156" s="22">
        <v>525329.43000000005</v>
      </c>
      <c r="Z156" s="37">
        <f t="shared" si="265"/>
        <v>516867.14</v>
      </c>
      <c r="AA156" s="260"/>
      <c r="AB156" s="261">
        <f t="shared" si="259"/>
        <v>8253073.75</v>
      </c>
      <c r="AC156" s="37">
        <f t="shared" si="260"/>
        <v>8388472.8700000001</v>
      </c>
    </row>
    <row r="157" spans="1:29" x14ac:dyDescent="0.2">
      <c r="A157" s="9" t="s">
        <v>24</v>
      </c>
      <c r="C157" s="22">
        <v>126497.46</v>
      </c>
      <c r="D157" s="37">
        <f t="shared" si="258"/>
        <v>124442.69</v>
      </c>
      <c r="E157" s="70">
        <v>131450.51999999999</v>
      </c>
      <c r="F157" s="37">
        <f t="shared" si="258"/>
        <v>129365.01</v>
      </c>
      <c r="G157" s="70">
        <v>131572.34</v>
      </c>
      <c r="H157" s="37">
        <f t="shared" si="258"/>
        <v>129466.7</v>
      </c>
      <c r="I157" s="22">
        <v>141901.60999999999</v>
      </c>
      <c r="J157" s="37">
        <f t="shared" si="258"/>
        <v>139643.93</v>
      </c>
      <c r="K157" s="22">
        <v>159007.76</v>
      </c>
      <c r="L157" s="37">
        <f t="shared" si="258"/>
        <v>156481.16</v>
      </c>
      <c r="M157" s="37">
        <v>126064.57</v>
      </c>
      <c r="N157" s="37">
        <f t="shared" si="258"/>
        <v>124047.26</v>
      </c>
      <c r="O157" s="22">
        <v>129542.67</v>
      </c>
      <c r="P157" s="37">
        <f t="shared" si="258"/>
        <v>127455.46</v>
      </c>
      <c r="Q157" s="22">
        <v>59562.55</v>
      </c>
      <c r="R157" s="37">
        <f t="shared" si="261"/>
        <v>58606.98</v>
      </c>
      <c r="S157" s="22">
        <v>110884.66</v>
      </c>
      <c r="T157" s="37">
        <f t="shared" si="262"/>
        <v>108951.44</v>
      </c>
      <c r="U157" s="22">
        <v>76519.61</v>
      </c>
      <c r="V157" s="37">
        <f t="shared" si="263"/>
        <v>75283.289999999994</v>
      </c>
      <c r="W157" s="22">
        <v>127772.07</v>
      </c>
      <c r="X157" s="37">
        <f t="shared" si="264"/>
        <v>125697.89</v>
      </c>
      <c r="Y157" s="22">
        <v>147336.07999999999</v>
      </c>
      <c r="Z157" s="37">
        <f t="shared" si="265"/>
        <v>144962.71</v>
      </c>
      <c r="AA157" s="260"/>
      <c r="AB157" s="261">
        <f t="shared" si="259"/>
        <v>1444404.5199999998</v>
      </c>
      <c r="AC157" s="37">
        <f t="shared" si="260"/>
        <v>1468111.9000000004</v>
      </c>
    </row>
    <row r="158" spans="1:29" x14ac:dyDescent="0.2">
      <c r="A158" s="9" t="s">
        <v>25</v>
      </c>
      <c r="C158" s="22">
        <v>138518.39999999999</v>
      </c>
      <c r="D158" s="37">
        <f t="shared" si="258"/>
        <v>136268.35999999999</v>
      </c>
      <c r="E158" s="70">
        <v>142868.19</v>
      </c>
      <c r="F158" s="37">
        <f t="shared" si="258"/>
        <v>140601.53</v>
      </c>
      <c r="G158" s="70">
        <v>131801.74</v>
      </c>
      <c r="H158" s="37">
        <f t="shared" si="258"/>
        <v>129692.43</v>
      </c>
      <c r="I158" s="22">
        <v>136578.32</v>
      </c>
      <c r="J158" s="37">
        <f t="shared" si="258"/>
        <v>134405.34</v>
      </c>
      <c r="K158" s="22">
        <v>109216.47</v>
      </c>
      <c r="L158" s="37">
        <f t="shared" si="258"/>
        <v>107481.04</v>
      </c>
      <c r="M158" s="37">
        <v>107347.6</v>
      </c>
      <c r="N158" s="37">
        <f t="shared" si="258"/>
        <v>105629.8</v>
      </c>
      <c r="O158" s="22">
        <v>101466.16</v>
      </c>
      <c r="P158" s="37">
        <f t="shared" si="258"/>
        <v>99831.32</v>
      </c>
      <c r="Q158" s="22">
        <v>118550.24</v>
      </c>
      <c r="R158" s="37">
        <f t="shared" si="261"/>
        <v>116648.32000000001</v>
      </c>
      <c r="S158" s="22">
        <v>83373.23</v>
      </c>
      <c r="T158" s="37">
        <f t="shared" si="262"/>
        <v>81919.66</v>
      </c>
      <c r="U158" s="22">
        <v>90310.69</v>
      </c>
      <c r="V158" s="37">
        <f t="shared" si="263"/>
        <v>88851.55</v>
      </c>
      <c r="W158" s="22">
        <v>93574.22</v>
      </c>
      <c r="X158" s="37">
        <f t="shared" si="264"/>
        <v>92055.19</v>
      </c>
      <c r="Y158" s="22">
        <v>98438.97</v>
      </c>
      <c r="Z158" s="37">
        <f t="shared" si="265"/>
        <v>96853.26</v>
      </c>
      <c r="AA158" s="260"/>
      <c r="AB158" s="261">
        <f t="shared" si="259"/>
        <v>1330237.8</v>
      </c>
      <c r="AC158" s="37">
        <f t="shared" si="260"/>
        <v>1352044.2299999997</v>
      </c>
    </row>
    <row r="159" spans="1:29" x14ac:dyDescent="0.2">
      <c r="A159" s="9" t="s">
        <v>26</v>
      </c>
      <c r="C159" s="22">
        <v>2179500.66</v>
      </c>
      <c r="D159" s="37">
        <f t="shared" si="258"/>
        <v>2144097.7599999998</v>
      </c>
      <c r="E159" s="70">
        <v>2455338.7799999998</v>
      </c>
      <c r="F159" s="37">
        <f t="shared" si="258"/>
        <v>2416383.89</v>
      </c>
      <c r="G159" s="70">
        <v>2305093.27</v>
      </c>
      <c r="H159" s="37">
        <f t="shared" si="258"/>
        <v>2268203.35</v>
      </c>
      <c r="I159" s="22">
        <v>2360167.11</v>
      </c>
      <c r="J159" s="37">
        <f t="shared" si="258"/>
        <v>2322616.4500000002</v>
      </c>
      <c r="K159" s="22">
        <v>2239935.85</v>
      </c>
      <c r="L159" s="37">
        <f t="shared" si="258"/>
        <v>2204343.6800000002</v>
      </c>
      <c r="M159" s="37">
        <v>2216890.5</v>
      </c>
      <c r="N159" s="37">
        <f t="shared" si="258"/>
        <v>2181415.36</v>
      </c>
      <c r="O159" s="22">
        <v>2233060.89</v>
      </c>
      <c r="P159" s="37">
        <f t="shared" si="258"/>
        <v>2197081.5</v>
      </c>
      <c r="Q159" s="22">
        <v>2883691.27</v>
      </c>
      <c r="R159" s="37">
        <f t="shared" si="261"/>
        <v>2837427.72</v>
      </c>
      <c r="S159" s="22">
        <v>1965549.15</v>
      </c>
      <c r="T159" s="37">
        <f t="shared" si="262"/>
        <v>1931280.72</v>
      </c>
      <c r="U159" s="22">
        <v>1792906.27</v>
      </c>
      <c r="V159" s="37">
        <f t="shared" si="263"/>
        <v>1763938.39</v>
      </c>
      <c r="W159" s="22">
        <v>2180395.46</v>
      </c>
      <c r="X159" s="37">
        <f t="shared" si="264"/>
        <v>2145000.06</v>
      </c>
      <c r="Y159" s="22">
        <v>2082160.91</v>
      </c>
      <c r="Z159" s="37">
        <f t="shared" si="265"/>
        <v>2048620.35</v>
      </c>
      <c r="AA159" s="260"/>
      <c r="AB159" s="261">
        <f t="shared" si="259"/>
        <v>26460409.229999997</v>
      </c>
      <c r="AC159" s="37">
        <f t="shared" si="260"/>
        <v>26894690.119999997</v>
      </c>
    </row>
    <row r="160" spans="1:29" x14ac:dyDescent="0.2">
      <c r="A160" s="9" t="s">
        <v>50</v>
      </c>
      <c r="C160" s="22">
        <v>14278.21</v>
      </c>
      <c r="D160" s="37">
        <f t="shared" si="258"/>
        <v>14046.28</v>
      </c>
      <c r="E160" s="70">
        <v>19788.61</v>
      </c>
      <c r="F160" s="37">
        <f t="shared" si="258"/>
        <v>19474.66</v>
      </c>
      <c r="G160" s="70">
        <v>17634.32</v>
      </c>
      <c r="H160" s="37">
        <f t="shared" si="258"/>
        <v>17352.11</v>
      </c>
      <c r="I160" s="22">
        <v>15460.62</v>
      </c>
      <c r="J160" s="37">
        <f t="shared" si="258"/>
        <v>15214.64</v>
      </c>
      <c r="K160" s="22">
        <v>13051.94</v>
      </c>
      <c r="L160" s="37">
        <f t="shared" si="258"/>
        <v>12844.55</v>
      </c>
      <c r="M160" s="37">
        <v>12450.5</v>
      </c>
      <c r="N160" s="37">
        <f t="shared" si="258"/>
        <v>12251.26</v>
      </c>
      <c r="O160" s="22">
        <v>13097.49</v>
      </c>
      <c r="P160" s="37">
        <f t="shared" si="258"/>
        <v>12886.46</v>
      </c>
      <c r="Q160" s="22">
        <v>45268.18</v>
      </c>
      <c r="R160" s="37">
        <f t="shared" si="261"/>
        <v>44541.93</v>
      </c>
      <c r="S160" s="22">
        <v>14392.32</v>
      </c>
      <c r="T160" s="37">
        <f t="shared" si="262"/>
        <v>14141.4</v>
      </c>
      <c r="U160" s="22">
        <v>8545.82</v>
      </c>
      <c r="V160" s="37">
        <f t="shared" si="263"/>
        <v>8407.75</v>
      </c>
      <c r="W160" s="22">
        <v>16652.900000000001</v>
      </c>
      <c r="X160" s="37">
        <f t="shared" si="264"/>
        <v>16382.57</v>
      </c>
      <c r="Y160" s="22">
        <v>19381.12</v>
      </c>
      <c r="Z160" s="37">
        <f t="shared" si="265"/>
        <v>19068.919999999998</v>
      </c>
      <c r="AA160" s="260"/>
      <c r="AB160" s="261">
        <f t="shared" si="259"/>
        <v>206612.52999999997</v>
      </c>
      <c r="AC160" s="37">
        <f t="shared" si="260"/>
        <v>210002.03</v>
      </c>
    </row>
    <row r="161" spans="1:29" x14ac:dyDescent="0.2">
      <c r="A161" s="9" t="s">
        <v>55</v>
      </c>
      <c r="C161" s="22">
        <v>291806.57</v>
      </c>
      <c r="D161" s="37">
        <f t="shared" si="258"/>
        <v>287066.59000000003</v>
      </c>
      <c r="E161" s="70">
        <v>291909.18</v>
      </c>
      <c r="F161" s="37">
        <f t="shared" si="258"/>
        <v>287277.93</v>
      </c>
      <c r="G161" s="70">
        <v>293176.62</v>
      </c>
      <c r="H161" s="37">
        <f t="shared" si="258"/>
        <v>288484.71999999997</v>
      </c>
      <c r="I161" s="22">
        <v>297846.26</v>
      </c>
      <c r="J161" s="37">
        <f t="shared" si="258"/>
        <v>293107.48</v>
      </c>
      <c r="K161" s="22">
        <v>283632.03000000003</v>
      </c>
      <c r="L161" s="37">
        <f t="shared" si="258"/>
        <v>279125.17</v>
      </c>
      <c r="M161" s="37">
        <v>286311.53000000003</v>
      </c>
      <c r="N161" s="37">
        <f t="shared" si="258"/>
        <v>281729.90999999997</v>
      </c>
      <c r="O161" s="22">
        <v>289004.61</v>
      </c>
      <c r="P161" s="37">
        <f t="shared" si="258"/>
        <v>284348.13</v>
      </c>
      <c r="Q161" s="22">
        <v>282868</v>
      </c>
      <c r="R161" s="37">
        <f t="shared" si="261"/>
        <v>278329.90000000002</v>
      </c>
      <c r="S161" s="22">
        <v>309085.36</v>
      </c>
      <c r="T161" s="37">
        <f t="shared" si="262"/>
        <v>303696.59999999998</v>
      </c>
      <c r="U161" s="22">
        <v>291353.95</v>
      </c>
      <c r="V161" s="37">
        <f t="shared" si="263"/>
        <v>286646.56</v>
      </c>
      <c r="W161" s="22">
        <v>303670.46999999997</v>
      </c>
      <c r="X161" s="37">
        <f t="shared" si="264"/>
        <v>298740.84000000003</v>
      </c>
      <c r="Y161" s="22">
        <v>302716.3</v>
      </c>
      <c r="Z161" s="37">
        <f t="shared" si="265"/>
        <v>297839.98</v>
      </c>
      <c r="AA161" s="260"/>
      <c r="AB161" s="261">
        <f t="shared" si="259"/>
        <v>3466393.8099999996</v>
      </c>
      <c r="AC161" s="37">
        <f t="shared" si="260"/>
        <v>3523380.88</v>
      </c>
    </row>
    <row r="162" spans="1:29" x14ac:dyDescent="0.2">
      <c r="A162" s="9" t="s">
        <v>51</v>
      </c>
      <c r="C162" s="22">
        <v>93510.09</v>
      </c>
      <c r="D162" s="37">
        <f t="shared" si="258"/>
        <v>91991.15</v>
      </c>
      <c r="E162" s="70">
        <v>96001.73</v>
      </c>
      <c r="F162" s="37">
        <f t="shared" si="258"/>
        <v>94478.63</v>
      </c>
      <c r="G162" s="70">
        <v>92112.01</v>
      </c>
      <c r="H162" s="37">
        <f t="shared" si="258"/>
        <v>90637.88</v>
      </c>
      <c r="I162" s="22">
        <v>117261.55</v>
      </c>
      <c r="J162" s="37">
        <f t="shared" si="258"/>
        <v>115395.9</v>
      </c>
      <c r="K162" s="22">
        <v>91330.82</v>
      </c>
      <c r="L162" s="37">
        <f t="shared" si="258"/>
        <v>89879.59</v>
      </c>
      <c r="M162" s="37">
        <v>109826.02</v>
      </c>
      <c r="N162" s="37">
        <f t="shared" si="258"/>
        <v>108068.56</v>
      </c>
      <c r="O162" s="22">
        <v>99694.93</v>
      </c>
      <c r="P162" s="37">
        <f t="shared" si="258"/>
        <v>98088.63</v>
      </c>
      <c r="Q162" s="22">
        <v>89035.51</v>
      </c>
      <c r="R162" s="37">
        <f t="shared" si="261"/>
        <v>87607.1</v>
      </c>
      <c r="S162" s="22">
        <v>104578.04</v>
      </c>
      <c r="T162" s="37">
        <f t="shared" si="262"/>
        <v>102754.77</v>
      </c>
      <c r="U162" s="22">
        <v>100022.28</v>
      </c>
      <c r="V162" s="37">
        <f t="shared" si="263"/>
        <v>98406.23</v>
      </c>
      <c r="W162" s="22">
        <v>90417.85</v>
      </c>
      <c r="X162" s="37">
        <f t="shared" si="264"/>
        <v>88950.05</v>
      </c>
      <c r="Y162" s="22">
        <v>108623.97</v>
      </c>
      <c r="Z162" s="37">
        <f t="shared" si="265"/>
        <v>106874.2</v>
      </c>
      <c r="AA162" s="260"/>
      <c r="AB162" s="261">
        <f t="shared" si="259"/>
        <v>1173132.69</v>
      </c>
      <c r="AC162" s="37">
        <f t="shared" si="260"/>
        <v>1192414.8</v>
      </c>
    </row>
    <row r="163" spans="1:29" x14ac:dyDescent="0.2">
      <c r="A163" s="9" t="s">
        <v>52</v>
      </c>
      <c r="C163" s="22">
        <v>146389.25</v>
      </c>
      <c r="D163" s="37">
        <f t="shared" si="258"/>
        <v>144011.35999999999</v>
      </c>
      <c r="E163" s="70">
        <v>167209.97</v>
      </c>
      <c r="F163" s="37">
        <f t="shared" si="258"/>
        <v>164557.12</v>
      </c>
      <c r="G163" s="70">
        <v>170742.75</v>
      </c>
      <c r="H163" s="37">
        <f t="shared" si="258"/>
        <v>168010.23999999999</v>
      </c>
      <c r="I163" s="22">
        <v>176433.39</v>
      </c>
      <c r="J163" s="37">
        <f t="shared" si="258"/>
        <v>173626.3</v>
      </c>
      <c r="K163" s="22">
        <v>193311.85</v>
      </c>
      <c r="L163" s="37">
        <f t="shared" si="258"/>
        <v>190240.16</v>
      </c>
      <c r="M163" s="22">
        <v>159234.76999999999</v>
      </c>
      <c r="N163" s="37">
        <f t="shared" si="258"/>
        <v>156686.66</v>
      </c>
      <c r="O163" s="22">
        <v>135214.88</v>
      </c>
      <c r="P163" s="37">
        <f t="shared" si="258"/>
        <v>133036.28</v>
      </c>
      <c r="Q163" s="22">
        <v>197827.46</v>
      </c>
      <c r="R163" s="37">
        <f t="shared" si="261"/>
        <v>194653.68</v>
      </c>
      <c r="S163" s="22">
        <v>136208.07999999999</v>
      </c>
      <c r="T163" s="37">
        <f t="shared" si="262"/>
        <v>133833.35999999999</v>
      </c>
      <c r="U163" s="22">
        <v>108390.81</v>
      </c>
      <c r="V163" s="37">
        <f t="shared" si="263"/>
        <v>106639.55</v>
      </c>
      <c r="W163" s="22">
        <v>140854.04</v>
      </c>
      <c r="X163" s="37">
        <f t="shared" si="264"/>
        <v>138567.49</v>
      </c>
      <c r="Y163" s="22">
        <v>147001.54999999999</v>
      </c>
      <c r="Z163" s="37">
        <f t="shared" si="265"/>
        <v>144633.57</v>
      </c>
      <c r="AA163" s="260"/>
      <c r="AB163" s="261">
        <f t="shared" si="259"/>
        <v>1848495.7700000003</v>
      </c>
      <c r="AC163" s="37">
        <f t="shared" si="260"/>
        <v>1878818.8</v>
      </c>
    </row>
    <row r="164" spans="1:29" x14ac:dyDescent="0.2">
      <c r="A164" s="9" t="s">
        <v>56</v>
      </c>
      <c r="C164" s="22">
        <v>564013.26</v>
      </c>
      <c r="D164" s="37">
        <f t="shared" si="258"/>
        <v>554851.66</v>
      </c>
      <c r="E164" s="70">
        <v>706491.9</v>
      </c>
      <c r="F164" s="37">
        <f t="shared" si="258"/>
        <v>695283.14</v>
      </c>
      <c r="G164" s="70">
        <v>562169.06999999995</v>
      </c>
      <c r="H164" s="37">
        <f t="shared" si="258"/>
        <v>553172.31000000006</v>
      </c>
      <c r="I164" s="22">
        <v>573537.72</v>
      </c>
      <c r="J164" s="37">
        <f t="shared" si="258"/>
        <v>564412.64</v>
      </c>
      <c r="K164" s="22">
        <v>639462.24</v>
      </c>
      <c r="L164" s="37">
        <f t="shared" si="258"/>
        <v>629301.30000000005</v>
      </c>
      <c r="M164" s="22">
        <v>667298.68000000005</v>
      </c>
      <c r="N164" s="37">
        <f t="shared" si="258"/>
        <v>656620.43000000005</v>
      </c>
      <c r="O164" s="22">
        <v>553954.73</v>
      </c>
      <c r="P164" s="37">
        <f t="shared" si="258"/>
        <v>545029.32999999996</v>
      </c>
      <c r="Q164" s="22">
        <v>617810.06999999995</v>
      </c>
      <c r="R164" s="37">
        <f t="shared" si="261"/>
        <v>607898.43999999994</v>
      </c>
      <c r="S164" s="22">
        <v>562082.76</v>
      </c>
      <c r="T164" s="37">
        <f t="shared" si="262"/>
        <v>552283.11</v>
      </c>
      <c r="U164" s="22">
        <v>548349.42000000004</v>
      </c>
      <c r="V164" s="37">
        <f t="shared" si="263"/>
        <v>539489.77</v>
      </c>
      <c r="W164" s="22">
        <v>756763.6</v>
      </c>
      <c r="X164" s="37">
        <f t="shared" si="264"/>
        <v>744478.7</v>
      </c>
      <c r="Y164" s="22">
        <v>666571.64</v>
      </c>
      <c r="Z164" s="37">
        <f t="shared" si="265"/>
        <v>655834.15</v>
      </c>
      <c r="AA164" s="260"/>
      <c r="AB164" s="261">
        <f t="shared" si="259"/>
        <v>7298654.9800000014</v>
      </c>
      <c r="AC164" s="37">
        <f t="shared" si="260"/>
        <v>7418505.0899999999</v>
      </c>
    </row>
    <row r="165" spans="1:29" x14ac:dyDescent="0.2">
      <c r="A165" s="9" t="s">
        <v>53</v>
      </c>
      <c r="C165" s="22">
        <v>16900.580000000002</v>
      </c>
      <c r="D165" s="37">
        <f t="shared" si="258"/>
        <v>16626.05</v>
      </c>
      <c r="E165" s="70">
        <v>21033.29</v>
      </c>
      <c r="F165" s="37">
        <f t="shared" si="258"/>
        <v>20699.59</v>
      </c>
      <c r="G165" s="70">
        <v>16972.849999999999</v>
      </c>
      <c r="H165" s="37">
        <f t="shared" si="258"/>
        <v>16701.22</v>
      </c>
      <c r="I165" s="22">
        <v>34143.14</v>
      </c>
      <c r="J165" s="37">
        <f t="shared" si="258"/>
        <v>33599.919999999998</v>
      </c>
      <c r="K165" s="22">
        <v>11629.53</v>
      </c>
      <c r="L165" s="37">
        <f t="shared" si="258"/>
        <v>11444.74</v>
      </c>
      <c r="M165" s="22">
        <v>18431.72</v>
      </c>
      <c r="N165" s="37">
        <f t="shared" si="258"/>
        <v>18136.77</v>
      </c>
      <c r="O165" s="22">
        <v>17962.05</v>
      </c>
      <c r="P165" s="37">
        <f t="shared" si="258"/>
        <v>17672.64</v>
      </c>
      <c r="Q165" s="22">
        <v>17910.37</v>
      </c>
      <c r="R165" s="37">
        <f t="shared" si="261"/>
        <v>17623.03</v>
      </c>
      <c r="S165" s="22">
        <v>16424.009999999998</v>
      </c>
      <c r="T165" s="37">
        <f t="shared" si="262"/>
        <v>16137.67</v>
      </c>
      <c r="U165" s="22">
        <v>18869.48</v>
      </c>
      <c r="V165" s="37">
        <f t="shared" si="263"/>
        <v>18564.61</v>
      </c>
      <c r="W165" s="22">
        <v>14120.63</v>
      </c>
      <c r="X165" s="37">
        <f t="shared" si="264"/>
        <v>13891.4</v>
      </c>
      <c r="Y165" s="22">
        <v>14421.21</v>
      </c>
      <c r="Z165" s="37">
        <f t="shared" si="265"/>
        <v>14188.91</v>
      </c>
      <c r="AA165" s="260"/>
      <c r="AB165" s="261">
        <f t="shared" si="259"/>
        <v>215286.55</v>
      </c>
      <c r="AC165" s="37">
        <f t="shared" si="260"/>
        <v>218818.86000000002</v>
      </c>
    </row>
    <row r="166" spans="1:29" x14ac:dyDescent="0.2">
      <c r="A166" s="9" t="s">
        <v>57</v>
      </c>
      <c r="C166" s="22">
        <v>72438.13</v>
      </c>
      <c r="D166" s="37">
        <f t="shared" si="258"/>
        <v>71261.48</v>
      </c>
      <c r="E166" s="70">
        <v>97922.72</v>
      </c>
      <c r="F166" s="37">
        <f t="shared" si="258"/>
        <v>96369.14</v>
      </c>
      <c r="G166" s="70">
        <v>91929.97</v>
      </c>
      <c r="H166" s="37">
        <f t="shared" si="258"/>
        <v>90458.75</v>
      </c>
      <c r="I166" s="22">
        <v>73659.34</v>
      </c>
      <c r="J166" s="37">
        <f t="shared" si="258"/>
        <v>72487.41</v>
      </c>
      <c r="K166" s="22">
        <v>79397.490000000005</v>
      </c>
      <c r="L166" s="37">
        <f t="shared" si="258"/>
        <v>78135.88</v>
      </c>
      <c r="M166" s="22">
        <v>46977.43</v>
      </c>
      <c r="N166" s="37">
        <f t="shared" si="258"/>
        <v>46225.69</v>
      </c>
      <c r="O166" s="22">
        <v>46103.38</v>
      </c>
      <c r="P166" s="37">
        <f t="shared" si="258"/>
        <v>45360.56</v>
      </c>
      <c r="Q166" s="22">
        <v>21327.56</v>
      </c>
      <c r="R166" s="37">
        <f t="shared" si="261"/>
        <v>20985.4</v>
      </c>
      <c r="S166" s="22">
        <v>42427.95</v>
      </c>
      <c r="T166" s="37">
        <f t="shared" si="262"/>
        <v>41688.239999999998</v>
      </c>
      <c r="U166" s="22">
        <v>44683.87</v>
      </c>
      <c r="V166" s="37">
        <f t="shared" si="263"/>
        <v>43961.919999999998</v>
      </c>
      <c r="W166" s="22">
        <v>48651.38</v>
      </c>
      <c r="X166" s="37">
        <f t="shared" si="264"/>
        <v>47861.599999999999</v>
      </c>
      <c r="Y166" s="22">
        <v>49785.19</v>
      </c>
      <c r="Z166" s="37">
        <f t="shared" si="265"/>
        <v>48983.22</v>
      </c>
      <c r="AA166" s="260"/>
      <c r="AB166" s="261">
        <f t="shared" si="259"/>
        <v>703779.29</v>
      </c>
      <c r="AC166" s="37">
        <f t="shared" si="260"/>
        <v>715304.40999999992</v>
      </c>
    </row>
    <row r="167" spans="1:29" x14ac:dyDescent="0.2">
      <c r="A167" s="9" t="s">
        <v>58</v>
      </c>
      <c r="C167" s="70">
        <v>38027.15</v>
      </c>
      <c r="D167" s="37">
        <f t="shared" si="258"/>
        <v>37409.449999999997</v>
      </c>
      <c r="E167" s="70">
        <v>35779.5</v>
      </c>
      <c r="F167" s="37">
        <f t="shared" si="258"/>
        <v>35211.839999999997</v>
      </c>
      <c r="G167" s="70">
        <v>13753.69</v>
      </c>
      <c r="H167" s="37">
        <f t="shared" si="258"/>
        <v>13533.58</v>
      </c>
      <c r="I167" s="22">
        <v>31301.93</v>
      </c>
      <c r="J167" s="37">
        <f t="shared" si="258"/>
        <v>30803.91</v>
      </c>
      <c r="K167" s="22">
        <v>73451.58</v>
      </c>
      <c r="L167" s="37">
        <f t="shared" si="258"/>
        <v>72284.45</v>
      </c>
      <c r="M167" s="22">
        <v>62764.6</v>
      </c>
      <c r="N167" s="37">
        <f t="shared" si="258"/>
        <v>61760.23</v>
      </c>
      <c r="O167" s="22">
        <v>59315.12</v>
      </c>
      <c r="P167" s="37">
        <f t="shared" si="258"/>
        <v>58359.43</v>
      </c>
      <c r="Q167" s="22">
        <v>37068.14</v>
      </c>
      <c r="R167" s="37">
        <f t="shared" si="261"/>
        <v>36473.449999999997</v>
      </c>
      <c r="S167" s="22">
        <v>47850.52</v>
      </c>
      <c r="T167" s="37">
        <f t="shared" si="262"/>
        <v>47016.27</v>
      </c>
      <c r="U167" s="22">
        <v>47179.4</v>
      </c>
      <c r="V167" s="37">
        <f t="shared" si="263"/>
        <v>46417.13</v>
      </c>
      <c r="W167" s="22">
        <v>51629.93</v>
      </c>
      <c r="X167" s="37">
        <f t="shared" si="264"/>
        <v>50791.8</v>
      </c>
      <c r="Y167" s="22">
        <v>49298.62</v>
      </c>
      <c r="Z167" s="37">
        <f t="shared" si="265"/>
        <v>48504.49</v>
      </c>
      <c r="AA167" s="260"/>
      <c r="AB167" s="261">
        <f t="shared" si="259"/>
        <v>538566.03</v>
      </c>
      <c r="AC167" s="37">
        <f t="shared" si="260"/>
        <v>547420.18000000005</v>
      </c>
    </row>
    <row r="168" spans="1:29" x14ac:dyDescent="0.2">
      <c r="A168" s="9" t="s">
        <v>59</v>
      </c>
      <c r="C168" s="22">
        <v>389081.1</v>
      </c>
      <c r="D168" s="37">
        <f t="shared" si="258"/>
        <v>382761.03</v>
      </c>
      <c r="E168" s="70">
        <v>398542.56</v>
      </c>
      <c r="F168" s="37">
        <f t="shared" si="258"/>
        <v>392219.53</v>
      </c>
      <c r="G168" s="70">
        <v>377295.03</v>
      </c>
      <c r="H168" s="37">
        <f t="shared" si="258"/>
        <v>371256.93</v>
      </c>
      <c r="I168" s="22">
        <v>391309.55</v>
      </c>
      <c r="J168" s="37">
        <f t="shared" si="258"/>
        <v>385083.75</v>
      </c>
      <c r="K168" s="22">
        <v>349808.2</v>
      </c>
      <c r="L168" s="37">
        <f t="shared" si="258"/>
        <v>344249.81</v>
      </c>
      <c r="M168" s="22">
        <v>366231.94</v>
      </c>
      <c r="N168" s="37">
        <f t="shared" si="258"/>
        <v>360371.42</v>
      </c>
      <c r="O168" s="22">
        <v>350209.67</v>
      </c>
      <c r="P168" s="37">
        <f t="shared" si="258"/>
        <v>344567.03999999998</v>
      </c>
      <c r="Q168" s="22">
        <v>347503.28</v>
      </c>
      <c r="R168" s="37">
        <f t="shared" si="261"/>
        <v>341928.23</v>
      </c>
      <c r="S168" s="22">
        <v>264992.40000000002</v>
      </c>
      <c r="T168" s="37">
        <f t="shared" si="262"/>
        <v>260372.38</v>
      </c>
      <c r="U168" s="22">
        <v>372334.25</v>
      </c>
      <c r="V168" s="37">
        <f t="shared" si="263"/>
        <v>366318.47</v>
      </c>
      <c r="W168" s="22">
        <v>359909.47</v>
      </c>
      <c r="X168" s="37">
        <f t="shared" si="264"/>
        <v>354066.89</v>
      </c>
      <c r="Y168" s="22">
        <v>378287.37</v>
      </c>
      <c r="Z168" s="37">
        <f t="shared" si="265"/>
        <v>372193.72</v>
      </c>
      <c r="AA168" s="260"/>
      <c r="AB168" s="261">
        <f t="shared" si="259"/>
        <v>4275389.2</v>
      </c>
      <c r="AC168" s="37">
        <f t="shared" si="260"/>
        <v>4345504.82</v>
      </c>
    </row>
    <row r="169" spans="1:29" x14ac:dyDescent="0.2">
      <c r="A169" s="9" t="s">
        <v>60</v>
      </c>
      <c r="C169" s="22">
        <v>30399.03</v>
      </c>
      <c r="D169" s="37">
        <f t="shared" si="258"/>
        <v>29905.24</v>
      </c>
      <c r="E169" s="70">
        <v>56388.73</v>
      </c>
      <c r="F169" s="37">
        <f t="shared" si="258"/>
        <v>55494.1</v>
      </c>
      <c r="G169" s="70">
        <v>48898.13</v>
      </c>
      <c r="H169" s="37">
        <f t="shared" si="258"/>
        <v>48115.58</v>
      </c>
      <c r="I169" s="22">
        <v>35579.83</v>
      </c>
      <c r="J169" s="37">
        <f t="shared" si="258"/>
        <v>35013.75</v>
      </c>
      <c r="K169" s="22">
        <v>25457.41</v>
      </c>
      <c r="L169" s="37">
        <f t="shared" si="258"/>
        <v>25052.9</v>
      </c>
      <c r="M169" s="22">
        <v>31401.29</v>
      </c>
      <c r="N169" s="37">
        <f t="shared" si="258"/>
        <v>30898.799999999999</v>
      </c>
      <c r="O169" s="22">
        <v>41762.04</v>
      </c>
      <c r="P169" s="37">
        <f t="shared" si="258"/>
        <v>41089.160000000003</v>
      </c>
      <c r="Q169" s="22">
        <v>49244.89</v>
      </c>
      <c r="R169" s="37">
        <f t="shared" si="261"/>
        <v>48454.85</v>
      </c>
      <c r="S169" s="22">
        <v>36727.919999999998</v>
      </c>
      <c r="T169" s="37">
        <f t="shared" si="262"/>
        <v>36087.589999999997</v>
      </c>
      <c r="U169" s="22">
        <v>29346.11</v>
      </c>
      <c r="V169" s="37">
        <f t="shared" si="263"/>
        <v>28871.97</v>
      </c>
      <c r="W169" s="22">
        <v>33465.9</v>
      </c>
      <c r="X169" s="37">
        <f t="shared" si="264"/>
        <v>32922.629999999997</v>
      </c>
      <c r="Y169" s="22">
        <v>26251.03</v>
      </c>
      <c r="Z169" s="37">
        <f t="shared" si="265"/>
        <v>25828.16</v>
      </c>
      <c r="AA169" s="260"/>
      <c r="AB169" s="261">
        <f t="shared" si="259"/>
        <v>437734.72999999992</v>
      </c>
      <c r="AC169" s="37">
        <f t="shared" si="260"/>
        <v>444922.31000000006</v>
      </c>
    </row>
    <row r="170" spans="1:29" x14ac:dyDescent="0.2">
      <c r="A170" s="9" t="s">
        <v>61</v>
      </c>
      <c r="C170" s="22">
        <v>931064.49</v>
      </c>
      <c r="D170" s="37">
        <f t="shared" si="258"/>
        <v>915940.67</v>
      </c>
      <c r="E170" s="70">
        <v>927038.66</v>
      </c>
      <c r="F170" s="37">
        <f t="shared" si="258"/>
        <v>912330.84</v>
      </c>
      <c r="G170" s="70">
        <v>1031802.31</v>
      </c>
      <c r="H170" s="37">
        <f t="shared" si="258"/>
        <v>1015289.7</v>
      </c>
      <c r="I170" s="22">
        <v>1065873.74</v>
      </c>
      <c r="J170" s="37">
        <f t="shared" si="258"/>
        <v>1048915.51</v>
      </c>
      <c r="K170" s="22">
        <v>1057781.67</v>
      </c>
      <c r="L170" s="37">
        <f t="shared" si="258"/>
        <v>1040973.72</v>
      </c>
      <c r="M170" s="22">
        <v>940935.27</v>
      </c>
      <c r="N170" s="37">
        <f t="shared" si="258"/>
        <v>925878.23</v>
      </c>
      <c r="O170" s="22">
        <v>729224.92</v>
      </c>
      <c r="P170" s="37">
        <f t="shared" si="258"/>
        <v>717475.55</v>
      </c>
      <c r="Q170" s="22">
        <v>884237.87</v>
      </c>
      <c r="R170" s="37">
        <f t="shared" si="261"/>
        <v>870051.89</v>
      </c>
      <c r="S170" s="22">
        <v>699999.93</v>
      </c>
      <c r="T170" s="37">
        <f t="shared" si="262"/>
        <v>687795.76</v>
      </c>
      <c r="U170" s="22">
        <v>671978.97</v>
      </c>
      <c r="V170" s="37">
        <f t="shared" si="263"/>
        <v>661121.85</v>
      </c>
      <c r="W170" s="22">
        <v>874320.34</v>
      </c>
      <c r="X170" s="37">
        <f t="shared" si="264"/>
        <v>860127.08</v>
      </c>
      <c r="Y170" s="22">
        <v>828174.17</v>
      </c>
      <c r="Z170" s="37">
        <f t="shared" si="265"/>
        <v>814833.5</v>
      </c>
      <c r="AA170" s="260"/>
      <c r="AB170" s="261">
        <f t="shared" si="259"/>
        <v>10470734.299999999</v>
      </c>
      <c r="AC170" s="37">
        <f t="shared" si="260"/>
        <v>10642432.34</v>
      </c>
    </row>
    <row r="171" spans="1:29" x14ac:dyDescent="0.2">
      <c r="A171" s="9" t="s">
        <v>65</v>
      </c>
      <c r="C171" s="22">
        <v>762782.45</v>
      </c>
      <c r="D171" s="37">
        <f t="shared" si="258"/>
        <v>750392.13</v>
      </c>
      <c r="E171" s="70">
        <v>885649.36</v>
      </c>
      <c r="F171" s="37">
        <f t="shared" si="258"/>
        <v>871598.2</v>
      </c>
      <c r="G171" s="261">
        <v>849549.16</v>
      </c>
      <c r="H171" s="37">
        <f t="shared" si="258"/>
        <v>835953.27</v>
      </c>
      <c r="I171" s="22">
        <v>810535.4</v>
      </c>
      <c r="J171" s="37">
        <f t="shared" si="258"/>
        <v>797639.64</v>
      </c>
      <c r="K171" s="22">
        <v>781363.34</v>
      </c>
      <c r="L171" s="37">
        <f t="shared" si="258"/>
        <v>768947.62</v>
      </c>
      <c r="M171" s="22">
        <v>814056.23</v>
      </c>
      <c r="N171" s="37">
        <f t="shared" si="258"/>
        <v>801029.53</v>
      </c>
      <c r="O171" s="22">
        <v>736179.44</v>
      </c>
      <c r="P171" s="37">
        <f t="shared" si="258"/>
        <v>724318.02</v>
      </c>
      <c r="Q171" s="22">
        <v>825498.83</v>
      </c>
      <c r="R171" s="37">
        <f t="shared" si="261"/>
        <v>812255.21</v>
      </c>
      <c r="S171" s="22">
        <v>703815.22</v>
      </c>
      <c r="T171" s="37">
        <f t="shared" si="262"/>
        <v>691544.53</v>
      </c>
      <c r="U171" s="22">
        <v>767962.09</v>
      </c>
      <c r="V171" s="37">
        <f t="shared" si="263"/>
        <v>755554.17</v>
      </c>
      <c r="W171" s="22">
        <v>766783.49</v>
      </c>
      <c r="X171" s="37">
        <f t="shared" si="264"/>
        <v>754335.93</v>
      </c>
      <c r="Y171" s="22">
        <v>721339.68</v>
      </c>
      <c r="Z171" s="37">
        <f t="shared" si="265"/>
        <v>709719.96</v>
      </c>
      <c r="AA171" s="260"/>
      <c r="AB171" s="261">
        <f t="shared" si="259"/>
        <v>9273288.2100000009</v>
      </c>
      <c r="AC171" s="37">
        <f t="shared" si="260"/>
        <v>9425514.6899999976</v>
      </c>
    </row>
    <row r="172" spans="1:29" x14ac:dyDescent="0.2">
      <c r="A172" s="9" t="s">
        <v>62</v>
      </c>
      <c r="C172" s="22">
        <v>0</v>
      </c>
      <c r="D172" s="37">
        <f t="shared" si="258"/>
        <v>0</v>
      </c>
      <c r="E172" s="37">
        <v>0</v>
      </c>
      <c r="F172" s="37">
        <f t="shared" si="258"/>
        <v>0</v>
      </c>
      <c r="G172" s="37">
        <v>0</v>
      </c>
      <c r="H172" s="37">
        <f t="shared" si="258"/>
        <v>0</v>
      </c>
      <c r="I172" s="37">
        <v>0</v>
      </c>
      <c r="J172" s="37">
        <f t="shared" si="258"/>
        <v>0</v>
      </c>
      <c r="K172" s="37">
        <v>787.09</v>
      </c>
      <c r="L172" s="37">
        <f t="shared" si="258"/>
        <v>774.58</v>
      </c>
      <c r="M172" s="37">
        <v>0</v>
      </c>
      <c r="N172" s="37">
        <f t="shared" si="258"/>
        <v>0</v>
      </c>
      <c r="O172" s="37">
        <v>0</v>
      </c>
      <c r="P172" s="37">
        <f t="shared" si="258"/>
        <v>0</v>
      </c>
      <c r="Q172" s="37">
        <v>0</v>
      </c>
      <c r="R172" s="37">
        <f t="shared" si="261"/>
        <v>0</v>
      </c>
      <c r="S172" s="37">
        <v>0</v>
      </c>
      <c r="T172" s="37">
        <f t="shared" si="262"/>
        <v>0</v>
      </c>
      <c r="U172" s="22">
        <v>0</v>
      </c>
      <c r="V172" s="37">
        <f t="shared" si="263"/>
        <v>0</v>
      </c>
      <c r="W172" s="22">
        <v>680.78</v>
      </c>
      <c r="X172" s="37">
        <f t="shared" si="264"/>
        <v>669.73</v>
      </c>
      <c r="Y172" s="22">
        <v>0</v>
      </c>
      <c r="Z172" s="37">
        <f t="shared" si="265"/>
        <v>0</v>
      </c>
      <c r="AA172" s="260"/>
      <c r="AB172" s="261">
        <f t="shared" si="259"/>
        <v>1444.31</v>
      </c>
      <c r="AC172" s="37">
        <f t="shared" si="260"/>
        <v>1467.87</v>
      </c>
    </row>
    <row r="173" spans="1:29" x14ac:dyDescent="0.2">
      <c r="A173" s="9" t="s">
        <v>93</v>
      </c>
      <c r="C173" s="22">
        <f>13921.96+4903.14</f>
        <v>18825.099999999999</v>
      </c>
      <c r="D173" s="37">
        <f>ROUND(C173+(C173/C$176*C$177),2)+0.01</f>
        <v>18519.32</v>
      </c>
      <c r="E173" s="70">
        <f>28049.7+5087.6</f>
        <v>33137.300000000003</v>
      </c>
      <c r="F173" s="37">
        <f>ROUND(E173+(E173/E$176*E$177),2)-0.01</f>
        <v>32611.550000000003</v>
      </c>
      <c r="G173" s="70">
        <f>17077.71+5069.95</f>
        <v>22147.66</v>
      </c>
      <c r="H173" s="37">
        <f>ROUND(G173+(G173/G$176*G$177),2)</f>
        <v>21793.22</v>
      </c>
      <c r="I173" s="22">
        <f>11349.49+5174.26</f>
        <v>16523.75</v>
      </c>
      <c r="J173" s="37">
        <f>ROUND(I173+(I173/I$176*I$177),2)</f>
        <v>16260.85</v>
      </c>
      <c r="K173" s="22">
        <f>15958.7+5056.8</f>
        <v>21015.5</v>
      </c>
      <c r="L173" s="37">
        <f>ROUND(K173+(K173/K$176*K$177),2)-0.01</f>
        <v>20681.560000000001</v>
      </c>
      <c r="M173" s="22">
        <f>14265.86+5673.53</f>
        <v>19939.39</v>
      </c>
      <c r="N173" s="37">
        <f>ROUND(M173+(M173/M$176*M$177),2)</f>
        <v>19620.32</v>
      </c>
      <c r="O173" s="70">
        <f>13782.28+4466.98</f>
        <v>18249.260000000002</v>
      </c>
      <c r="P173" s="37">
        <f>ROUND(O173+(O173/O$176*O$177),2)+0.01</f>
        <v>17955.239999999998</v>
      </c>
      <c r="Q173" s="22">
        <f>29451.2+6853.18</f>
        <v>36304.380000000005</v>
      </c>
      <c r="R173" s="37">
        <f>ROUND(Q173+(Q173/Q$176*Q$177),2)-0.01</f>
        <v>35721.93</v>
      </c>
      <c r="S173" s="22">
        <f>12154.09+6203.6</f>
        <v>18357.690000000002</v>
      </c>
      <c r="T173" s="37">
        <f>ROUND(S173+(S173/S$176*S$177),2)-0.04</f>
        <v>18037.59</v>
      </c>
      <c r="U173" s="22">
        <f>23666.74+5506.92</f>
        <v>29173.660000000003</v>
      </c>
      <c r="V173" s="37">
        <f>ROUND(U173+(U173/U$176*U$177),2)-0.03</f>
        <v>28702.27</v>
      </c>
      <c r="W173" s="70">
        <f>34867.39+6718.69-680.78</f>
        <v>40905.300000000003</v>
      </c>
      <c r="X173" s="37">
        <f>ROUND(W173+(W173/W$176*W$177),2)-0.01</f>
        <v>40241.25</v>
      </c>
      <c r="Y173" s="22">
        <f>12385.49+6167.29</f>
        <v>18552.78</v>
      </c>
      <c r="Z173" s="37">
        <f t="shared" si="265"/>
        <v>18253.919999999998</v>
      </c>
      <c r="AA173" s="260"/>
      <c r="AB173" s="261">
        <f t="shared" si="259"/>
        <v>288399.01999999996</v>
      </c>
      <c r="AC173" s="37">
        <f t="shared" si="260"/>
        <v>293131.77</v>
      </c>
    </row>
    <row r="174" spans="1:29" x14ac:dyDescent="0.2">
      <c r="A174" s="9" t="s">
        <v>67</v>
      </c>
      <c r="C174" s="22">
        <f>642832.03+268256.58</f>
        <v>911088.6100000001</v>
      </c>
      <c r="D174" s="37">
        <f>ROUND(C174+(C174/C$176*C$177),2)</f>
        <v>896289.27</v>
      </c>
      <c r="E174" s="70">
        <f>623654.01+247820.79</f>
        <v>871474.8</v>
      </c>
      <c r="F174" s="37">
        <f>ROUND(E174+(E174/E$176*E$177),2)</f>
        <v>857648.52</v>
      </c>
      <c r="G174" s="70">
        <f>662523.29+216906.71</f>
        <v>879430</v>
      </c>
      <c r="H174" s="37">
        <f>ROUND(G174+(G174/G$176*G$177),2)</f>
        <v>865355.9</v>
      </c>
      <c r="I174" s="22">
        <f>636825.9+235622.06</f>
        <v>872447.96</v>
      </c>
      <c r="J174" s="37">
        <f>ROUND(I174+(I174/I$176*I$177),2)</f>
        <v>858567.17</v>
      </c>
      <c r="K174" s="22">
        <f>588863.42+218642.01</f>
        <v>807505.43</v>
      </c>
      <c r="L174" s="37">
        <f>ROUND(K174+(K174/K$176*K$177),2)</f>
        <v>794674.32</v>
      </c>
      <c r="M174" s="22">
        <f>618080.06+244622.43</f>
        <v>862702.49</v>
      </c>
      <c r="N174" s="37">
        <f>ROUND(M174+(M174/M$176*M$177),2)</f>
        <v>848897.35</v>
      </c>
      <c r="O174" s="22">
        <f>574896.96+280570.6</f>
        <v>855467.55999999994</v>
      </c>
      <c r="P174" s="37">
        <f>ROUND(O174+(O174/O$176*O$177),2)</f>
        <v>841684.15</v>
      </c>
      <c r="Q174" s="22">
        <f>719418.74+237582.67</f>
        <v>957001.41</v>
      </c>
      <c r="R174" s="37">
        <f t="shared" si="261"/>
        <v>941648.07</v>
      </c>
      <c r="S174" s="22">
        <f>671082.57+724997.98</f>
        <v>1396080.5499999998</v>
      </c>
      <c r="T174" s="37">
        <f t="shared" si="262"/>
        <v>1371740.54</v>
      </c>
      <c r="U174" s="22">
        <f>545527.74+217701.86</f>
        <v>763229.6</v>
      </c>
      <c r="V174" s="37">
        <f t="shared" si="263"/>
        <v>750898.14</v>
      </c>
      <c r="W174" s="22">
        <v>998856.91</v>
      </c>
      <c r="X174" s="37">
        <f t="shared" si="264"/>
        <v>982641.99</v>
      </c>
      <c r="Y174" s="22">
        <v>846405.59</v>
      </c>
      <c r="Z174" s="37">
        <f t="shared" si="265"/>
        <v>832771.24</v>
      </c>
      <c r="AA174" s="260"/>
      <c r="AB174" s="261">
        <f t="shared" si="259"/>
        <v>10842816.66</v>
      </c>
      <c r="AC174" s="37">
        <f t="shared" si="260"/>
        <v>11021690.909999998</v>
      </c>
    </row>
    <row r="175" spans="1:29" x14ac:dyDescent="0.2">
      <c r="A175" s="9" t="s">
        <v>97</v>
      </c>
      <c r="C175" s="115">
        <v>0</v>
      </c>
      <c r="D175" s="37">
        <f>ROUND(C175+(C175/C$176*C$177),2)</f>
        <v>0</v>
      </c>
      <c r="E175" s="71">
        <v>49291.040000000001</v>
      </c>
      <c r="F175" s="37">
        <f>ROUND(E175+(E175/E$176*E$177),2)</f>
        <v>48509.02</v>
      </c>
      <c r="G175" s="71">
        <v>24913.09</v>
      </c>
      <c r="H175" s="37">
        <f>ROUND(G175+(G175/G$176*G$177),2)</f>
        <v>24514.39</v>
      </c>
      <c r="I175" s="115">
        <v>26051.93</v>
      </c>
      <c r="J175" s="37">
        <f>ROUND(I175+(I175/I$176*I$177),2)</f>
        <v>25637.439999999999</v>
      </c>
      <c r="K175" s="115">
        <v>24333.360000000001</v>
      </c>
      <c r="L175" s="37">
        <f>ROUND(K175+(K175/K$176*K$177),2)</f>
        <v>23946.71</v>
      </c>
      <c r="M175" s="22">
        <v>24422.74</v>
      </c>
      <c r="N175" s="37">
        <f>ROUND(M175+(M175/M$176*M$177),2)</f>
        <v>24031.919999999998</v>
      </c>
      <c r="O175" s="22">
        <v>26776.43</v>
      </c>
      <c r="P175" s="37">
        <f>ROUND(O175+(O175/O$176*O$177),2)</f>
        <v>26345</v>
      </c>
      <c r="Q175" s="22">
        <v>31927.8</v>
      </c>
      <c r="R175" s="37">
        <f t="shared" si="261"/>
        <v>31415.58</v>
      </c>
      <c r="S175" s="107">
        <v>24862.06</v>
      </c>
      <c r="T175" s="37">
        <f t="shared" si="262"/>
        <v>24428.6</v>
      </c>
      <c r="U175" s="22">
        <v>23286.720000000001</v>
      </c>
      <c r="V175" s="37">
        <f t="shared" si="263"/>
        <v>22910.48</v>
      </c>
      <c r="W175" s="107">
        <v>29264.17</v>
      </c>
      <c r="X175" s="37">
        <f t="shared" si="264"/>
        <v>28789.11</v>
      </c>
      <c r="Y175" s="107">
        <v>27259.62</v>
      </c>
      <c r="Z175" s="37">
        <f t="shared" si="265"/>
        <v>26820.51</v>
      </c>
      <c r="AA175" s="260"/>
      <c r="AB175" s="261">
        <f t="shared" si="259"/>
        <v>307348.76</v>
      </c>
      <c r="AC175" s="262">
        <f t="shared" si="260"/>
        <v>312388.95999999996</v>
      </c>
    </row>
    <row r="176" spans="1:29" x14ac:dyDescent="0.2">
      <c r="A176" s="263" t="s">
        <v>44</v>
      </c>
      <c r="C176" s="34">
        <f>SUM(C153:C175)</f>
        <v>7562917.5</v>
      </c>
      <c r="D176" s="34">
        <f>SUM(D153:D175)</f>
        <v>7440068.620000001</v>
      </c>
      <c r="E176" s="34">
        <f t="shared" ref="E176:L176" si="266">+SUM(E153:E175)</f>
        <v>8348684.8500000006</v>
      </c>
      <c r="F176" s="34">
        <f t="shared" si="266"/>
        <v>8216229.7799999993</v>
      </c>
      <c r="G176" s="34">
        <f t="shared" si="266"/>
        <v>8013415.7400000002</v>
      </c>
      <c r="H176" s="34">
        <f t="shared" si="266"/>
        <v>7885171.7799999993</v>
      </c>
      <c r="I176" s="34">
        <f t="shared" si="266"/>
        <v>8333923.5299999984</v>
      </c>
      <c r="J176" s="34">
        <f t="shared" si="266"/>
        <v>8201329.3999999994</v>
      </c>
      <c r="K176" s="34">
        <f t="shared" si="266"/>
        <v>7786999.5000000009</v>
      </c>
      <c r="L176" s="34">
        <f t="shared" si="266"/>
        <v>7663265.5199999996</v>
      </c>
      <c r="M176" s="72">
        <f>SUM(M153:M175)</f>
        <v>7862918.7700000005</v>
      </c>
      <c r="N176" s="72">
        <f>SUM(N153:N175)</f>
        <v>7737094.71</v>
      </c>
      <c r="O176" s="72">
        <f t="shared" ref="O176:Z176" si="267">SUM(O153:O175)</f>
        <v>7375082.0999999987</v>
      </c>
      <c r="P176" s="72">
        <f>SUM(P153:P175)</f>
        <v>7256253.7599999998</v>
      </c>
      <c r="Q176" s="72">
        <f t="shared" si="267"/>
        <v>8545838.120000001</v>
      </c>
      <c r="R176" s="72">
        <f t="shared" si="267"/>
        <v>8408735.7800000012</v>
      </c>
      <c r="S176" s="72">
        <f t="shared" si="267"/>
        <v>7447768.919999999</v>
      </c>
      <c r="T176" s="72">
        <f t="shared" si="267"/>
        <v>7317920.5399999991</v>
      </c>
      <c r="U176" s="72">
        <f t="shared" si="267"/>
        <v>6442634.1199999992</v>
      </c>
      <c r="V176" s="72">
        <f t="shared" si="267"/>
        <v>6338540.8599999994</v>
      </c>
      <c r="W176" s="72">
        <f t="shared" si="267"/>
        <v>8141032.7999999998</v>
      </c>
      <c r="X176" s="72">
        <f t="shared" si="267"/>
        <v>8008875.54</v>
      </c>
      <c r="Y176" s="72">
        <f t="shared" si="267"/>
        <v>7275939.5700000003</v>
      </c>
      <c r="Z176" s="72">
        <f t="shared" si="267"/>
        <v>7158734.8600000003</v>
      </c>
      <c r="AA176" s="260"/>
      <c r="AB176" s="261">
        <f>SUM(AB153:AB175)</f>
        <v>91632221.150000006</v>
      </c>
      <c r="AC176" s="261">
        <f>SUM(AC153:AC175)</f>
        <v>93137155.519999981</v>
      </c>
    </row>
    <row r="177" spans="1:29" x14ac:dyDescent="0.2">
      <c r="A177" s="264" t="s">
        <v>45</v>
      </c>
      <c r="B177" s="36"/>
      <c r="C177" s="35">
        <v>-122848.88</v>
      </c>
      <c r="D177" s="36"/>
      <c r="E177" s="73">
        <v>-132455.07</v>
      </c>
      <c r="F177" s="74"/>
      <c r="G177" s="73">
        <v>-128243.96</v>
      </c>
      <c r="H177" s="74"/>
      <c r="I177" s="35">
        <v>-132594.13</v>
      </c>
      <c r="J177" s="36"/>
      <c r="K177" s="35">
        <v>-123733.98</v>
      </c>
      <c r="L177" s="36"/>
      <c r="M177" s="35">
        <v>-125824.06</v>
      </c>
      <c r="N177" s="36"/>
      <c r="O177" s="35">
        <v>-118828.34</v>
      </c>
      <c r="P177" s="36"/>
      <c r="Q177" s="35">
        <v>-137102.34</v>
      </c>
      <c r="R177" s="36"/>
      <c r="S177" s="35">
        <v>-129848.38</v>
      </c>
      <c r="T177" s="36"/>
      <c r="U177" s="35">
        <v>-104093.26</v>
      </c>
      <c r="V177" s="36"/>
      <c r="W177" s="35">
        <v>-132157.26</v>
      </c>
      <c r="X177" s="36"/>
      <c r="Y177" s="35">
        <v>-117204.71</v>
      </c>
      <c r="Z177" s="36"/>
      <c r="AA177" s="36"/>
      <c r="AB177" s="261"/>
      <c r="AC177" s="262">
        <f>+C177+E177+G177+I177+K177+M177+O177+Q177+S177+U177+W177+Y177</f>
        <v>-1504934.37</v>
      </c>
    </row>
    <row r="178" spans="1:29" x14ac:dyDescent="0.2">
      <c r="A178" s="263" t="s">
        <v>27</v>
      </c>
      <c r="C178" s="22">
        <f>+C176+C177</f>
        <v>7440068.6200000001</v>
      </c>
      <c r="D178" s="22"/>
      <c r="E178" s="22">
        <f>E176+E177</f>
        <v>8216229.7800000003</v>
      </c>
      <c r="F178" s="70"/>
      <c r="G178" s="22">
        <f>+G176+G177</f>
        <v>7885171.7800000003</v>
      </c>
      <c r="H178" s="70"/>
      <c r="I178" s="22">
        <f>+I176+I177</f>
        <v>8201329.3999999985</v>
      </c>
      <c r="J178" s="22"/>
      <c r="K178" s="22">
        <f>+K176+K177</f>
        <v>7663265.5200000005</v>
      </c>
      <c r="L178" s="22"/>
      <c r="M178" s="22">
        <f>+M176+M177</f>
        <v>7737094.7100000009</v>
      </c>
      <c r="N178" s="22"/>
      <c r="O178" s="22">
        <f>+O176+O177</f>
        <v>7256253.7599999988</v>
      </c>
      <c r="P178" s="22"/>
      <c r="Q178" s="22">
        <f>+Q176+Q177</f>
        <v>8408735.7800000012</v>
      </c>
      <c r="R178" s="22"/>
      <c r="S178" s="22">
        <f>+S176+S177</f>
        <v>7317920.5399999991</v>
      </c>
      <c r="T178" s="22"/>
      <c r="U178" s="22">
        <f>+U176+U177</f>
        <v>6338540.8599999994</v>
      </c>
      <c r="V178" s="22"/>
      <c r="W178" s="22">
        <f>+W176+W177</f>
        <v>8008875.54</v>
      </c>
      <c r="X178" s="22"/>
      <c r="Y178" s="22">
        <f>+Y176+Y177</f>
        <v>7158734.8600000003</v>
      </c>
      <c r="Z178" s="22"/>
      <c r="AC178" s="265">
        <f>SUM(AC176:AC177)</f>
        <v>91632221.149999976</v>
      </c>
    </row>
    <row r="179" spans="1:29" x14ac:dyDescent="0.2">
      <c r="A179" s="266" t="s">
        <v>130</v>
      </c>
      <c r="C179" s="107">
        <v>7440068.6200000001</v>
      </c>
      <c r="D179" s="22"/>
      <c r="E179" s="40">
        <v>8216229.7800000003</v>
      </c>
      <c r="F179" s="40"/>
      <c r="G179" s="40">
        <v>7885171.7800000003</v>
      </c>
      <c r="H179" s="40"/>
      <c r="I179" s="262">
        <v>8201329.4000000004</v>
      </c>
      <c r="K179" s="262">
        <v>7663265.5199999996</v>
      </c>
      <c r="M179" s="37">
        <v>7737094.71</v>
      </c>
      <c r="O179" s="48">
        <v>7256253.7599999998</v>
      </c>
      <c r="Q179" s="37">
        <v>8408735.7799999993</v>
      </c>
      <c r="S179" s="37">
        <v>7317920.54</v>
      </c>
      <c r="U179" s="37">
        <v>6338540.8600000003</v>
      </c>
      <c r="W179" s="37">
        <v>8008875.54</v>
      </c>
      <c r="Y179" s="37">
        <v>7158734.8600000003</v>
      </c>
    </row>
    <row r="180" spans="1:29" x14ac:dyDescent="0.2">
      <c r="A180" s="266" t="s">
        <v>21</v>
      </c>
      <c r="C180" s="22">
        <f>+C178-C179</f>
        <v>0</v>
      </c>
      <c r="D180" s="22"/>
      <c r="E180" s="22">
        <f>E178-E179</f>
        <v>0</v>
      </c>
      <c r="F180" s="40"/>
      <c r="G180" s="22">
        <f>+G178-G179</f>
        <v>0</v>
      </c>
      <c r="H180" s="40"/>
      <c r="I180" s="22">
        <f>+I178-I179</f>
        <v>0</v>
      </c>
      <c r="K180" s="37">
        <f>+K178-K179</f>
        <v>0</v>
      </c>
      <c r="M180" s="37">
        <f>+M178-M179</f>
        <v>0</v>
      </c>
      <c r="O180" s="37">
        <f>+O178-O179</f>
        <v>0</v>
      </c>
      <c r="Q180" s="37">
        <f>+Q178-Q179</f>
        <v>0</v>
      </c>
      <c r="S180" s="37">
        <f>+S178-S179</f>
        <v>0</v>
      </c>
      <c r="U180" s="37">
        <f>+U178-U179</f>
        <v>0</v>
      </c>
      <c r="W180" s="37">
        <f>+W178-W179</f>
        <v>0</v>
      </c>
      <c r="Y180" s="37">
        <f>+Y178-Y179</f>
        <v>0</v>
      </c>
      <c r="Z180" s="37">
        <f>+Z176-Y179</f>
        <v>0</v>
      </c>
    </row>
    <row r="181" spans="1:29" x14ac:dyDescent="0.2">
      <c r="A181" s="9" t="s">
        <v>92</v>
      </c>
      <c r="C181" s="22"/>
      <c r="E181" s="40"/>
      <c r="F181" s="40"/>
      <c r="G181" s="40"/>
      <c r="H181" s="40"/>
    </row>
    <row r="182" spans="1:29" ht="15" x14ac:dyDescent="0.2">
      <c r="B182" s="60"/>
      <c r="E182" s="47"/>
      <c r="F182" s="47"/>
      <c r="G182" s="47"/>
    </row>
    <row r="183" spans="1:29" ht="15" x14ac:dyDescent="0.2">
      <c r="B183" s="60"/>
      <c r="E183" s="47"/>
      <c r="F183" s="47"/>
      <c r="G183" s="47"/>
    </row>
    <row r="184" spans="1:29" ht="15" x14ac:dyDescent="0.2">
      <c r="A184" s="9" t="s">
        <v>0</v>
      </c>
      <c r="E184" s="47"/>
      <c r="F184" s="47"/>
      <c r="G184" s="47"/>
    </row>
    <row r="185" spans="1:29" ht="15" x14ac:dyDescent="0.2">
      <c r="A185" s="9" t="s">
        <v>83</v>
      </c>
      <c r="E185" s="47"/>
      <c r="F185" s="47"/>
      <c r="G185" s="47"/>
    </row>
    <row r="186" spans="1:29" ht="15" x14ac:dyDescent="0.2">
      <c r="A186" s="20" t="s">
        <v>116</v>
      </c>
      <c r="N186" s="9"/>
      <c r="O186" s="47"/>
      <c r="P186" s="47"/>
      <c r="Q186" s="20" t="s">
        <v>117</v>
      </c>
    </row>
    <row r="187" spans="1:29" x14ac:dyDescent="0.2">
      <c r="A187" s="259"/>
      <c r="B187" s="259"/>
      <c r="C187" s="38" t="s">
        <v>28</v>
      </c>
      <c r="D187" s="38" t="s">
        <v>29</v>
      </c>
      <c r="E187" s="38" t="s">
        <v>28</v>
      </c>
      <c r="F187" s="38" t="s">
        <v>29</v>
      </c>
      <c r="G187" s="38" t="s">
        <v>28</v>
      </c>
      <c r="H187" s="38" t="s">
        <v>29</v>
      </c>
      <c r="I187" s="38" t="s">
        <v>28</v>
      </c>
      <c r="J187" s="38" t="s">
        <v>29</v>
      </c>
      <c r="K187" s="38" t="s">
        <v>28</v>
      </c>
      <c r="L187" s="38" t="s">
        <v>29</v>
      </c>
      <c r="M187" s="38" t="s">
        <v>28</v>
      </c>
      <c r="N187" s="38" t="s">
        <v>29</v>
      </c>
      <c r="O187" s="38" t="s">
        <v>28</v>
      </c>
      <c r="P187" s="38" t="s">
        <v>29</v>
      </c>
      <c r="Q187" s="38" t="s">
        <v>28</v>
      </c>
      <c r="R187" s="38" t="s">
        <v>29</v>
      </c>
      <c r="S187" s="38" t="s">
        <v>28</v>
      </c>
      <c r="T187" s="38" t="s">
        <v>29</v>
      </c>
      <c r="U187" s="38" t="s">
        <v>28</v>
      </c>
      <c r="V187" s="38" t="s">
        <v>29</v>
      </c>
      <c r="W187" s="38" t="s">
        <v>28</v>
      </c>
      <c r="X187" s="38" t="s">
        <v>29</v>
      </c>
      <c r="Y187" s="38" t="s">
        <v>28</v>
      </c>
      <c r="Z187" s="38" t="s">
        <v>29</v>
      </c>
      <c r="AA187" s="38"/>
      <c r="AB187" s="38"/>
    </row>
    <row r="188" spans="1:29" x14ac:dyDescent="0.2">
      <c r="A188" s="9" t="s">
        <v>30</v>
      </c>
      <c r="C188" s="37"/>
      <c r="D188" s="38" t="s">
        <v>84</v>
      </c>
      <c r="F188" s="38" t="s">
        <v>84</v>
      </c>
      <c r="H188" s="38" t="s">
        <v>84</v>
      </c>
      <c r="J188" s="38" t="s">
        <v>84</v>
      </c>
      <c r="L188" s="38" t="s">
        <v>84</v>
      </c>
      <c r="N188" s="38" t="s">
        <v>84</v>
      </c>
      <c r="P188" s="38" t="s">
        <v>84</v>
      </c>
      <c r="R188" s="38" t="s">
        <v>84</v>
      </c>
      <c r="T188" s="38" t="s">
        <v>84</v>
      </c>
      <c r="V188" s="38" t="s">
        <v>84</v>
      </c>
      <c r="X188" s="38" t="s">
        <v>84</v>
      </c>
      <c r="Z188" s="38" t="s">
        <v>84</v>
      </c>
    </row>
    <row r="189" spans="1:29" x14ac:dyDescent="0.2">
      <c r="A189" s="24"/>
      <c r="B189" s="24"/>
      <c r="C189" s="49" t="s">
        <v>32</v>
      </c>
      <c r="D189" s="49" t="s">
        <v>31</v>
      </c>
      <c r="E189" s="49" t="s">
        <v>33</v>
      </c>
      <c r="F189" s="49" t="s">
        <v>31</v>
      </c>
      <c r="G189" s="49" t="s">
        <v>34</v>
      </c>
      <c r="H189" s="49" t="s">
        <v>31</v>
      </c>
      <c r="I189" s="49" t="s">
        <v>35</v>
      </c>
      <c r="J189" s="26" t="s">
        <v>31</v>
      </c>
      <c r="K189" s="49" t="s">
        <v>36</v>
      </c>
      <c r="L189" s="26" t="s">
        <v>31</v>
      </c>
      <c r="M189" s="26" t="s">
        <v>37</v>
      </c>
      <c r="N189" s="26" t="s">
        <v>31</v>
      </c>
      <c r="O189" s="26" t="s">
        <v>38</v>
      </c>
      <c r="P189" s="26" t="s">
        <v>31</v>
      </c>
      <c r="Q189" s="26" t="s">
        <v>39</v>
      </c>
      <c r="R189" s="26" t="s">
        <v>31</v>
      </c>
      <c r="S189" s="26" t="s">
        <v>40</v>
      </c>
      <c r="T189" s="26" t="s">
        <v>31</v>
      </c>
      <c r="U189" s="26" t="s">
        <v>41</v>
      </c>
      <c r="V189" s="26" t="s">
        <v>31</v>
      </c>
      <c r="W189" s="26" t="s">
        <v>42</v>
      </c>
      <c r="X189" s="26" t="s">
        <v>31</v>
      </c>
      <c r="Y189" s="26" t="s">
        <v>43</v>
      </c>
      <c r="Z189" s="26" t="s">
        <v>31</v>
      </c>
      <c r="AA189" s="26"/>
      <c r="AB189" s="26" t="s">
        <v>124</v>
      </c>
      <c r="AC189" s="26" t="s">
        <v>125</v>
      </c>
    </row>
    <row r="190" spans="1:29" x14ac:dyDescent="0.2">
      <c r="A190" s="9" t="s">
        <v>48</v>
      </c>
      <c r="C190" s="22">
        <v>51385.89</v>
      </c>
      <c r="D190" s="37">
        <v>50565.86</v>
      </c>
      <c r="E190" s="70">
        <v>24826.84</v>
      </c>
      <c r="F190" s="37">
        <v>24428.57</v>
      </c>
      <c r="G190" s="70">
        <v>34301.71</v>
      </c>
      <c r="H190" s="37">
        <v>33752.300000000003</v>
      </c>
      <c r="I190" s="22">
        <v>14457.43</v>
      </c>
      <c r="J190" s="37">
        <v>14224.87</v>
      </c>
      <c r="K190" s="22">
        <v>12451.9</v>
      </c>
      <c r="L190" s="37">
        <v>12253.94</v>
      </c>
      <c r="M190" s="37">
        <v>11433.46</v>
      </c>
      <c r="N190" s="37">
        <v>11249.93</v>
      </c>
      <c r="O190" s="34">
        <v>7123.38</v>
      </c>
      <c r="P190" s="37">
        <f>ROUND(O190+(O190/O$213*O$214),2)</f>
        <v>7009.16</v>
      </c>
      <c r="Q190" s="22">
        <v>7597.06</v>
      </c>
      <c r="R190" s="37">
        <f>ROUND(Q190+(Q190/Q$213*Q$214),2)</f>
        <v>7475.54</v>
      </c>
      <c r="S190" s="22">
        <v>3656.47</v>
      </c>
      <c r="T190" s="37">
        <f>ROUND(S190+(S190/S$213*S$214),2)</f>
        <v>3597.79</v>
      </c>
      <c r="U190" s="22">
        <v>4498.41</v>
      </c>
      <c r="V190" s="37">
        <f>ROUND(U190+(U190/U$213*U$214),2)</f>
        <v>4423.3900000000003</v>
      </c>
      <c r="W190" s="22">
        <v>13027.82</v>
      </c>
      <c r="X190" s="37">
        <f>ROUND(W190+(W190/W$213*W$214),2)</f>
        <v>12820.84</v>
      </c>
      <c r="Y190" s="22">
        <v>28561.53</v>
      </c>
      <c r="Z190" s="37">
        <f>ROUND(Y190+(Y190/Y$213*Y$214),2)</f>
        <v>28099.21</v>
      </c>
      <c r="AA190" s="260"/>
      <c r="AB190" s="261">
        <f t="shared" ref="AB190:AB212" si="268">+D190+F190+H190+J190+L190+N190+P190+R190+T190+V190+X190+Z190</f>
        <v>209901.4</v>
      </c>
      <c r="AC190" s="37">
        <f t="shared" ref="AC190:AC212" si="269">+C190+E190+G190+I190+K190+M190+O190+Q190+S190+U190+W190+Y190</f>
        <v>213321.9</v>
      </c>
    </row>
    <row r="191" spans="1:29" x14ac:dyDescent="0.2">
      <c r="A191" s="9" t="s">
        <v>22</v>
      </c>
      <c r="C191" s="22">
        <v>400</v>
      </c>
      <c r="D191" s="37">
        <v>393.62</v>
      </c>
      <c r="E191" s="70">
        <v>0</v>
      </c>
      <c r="F191" s="37">
        <v>0</v>
      </c>
      <c r="G191" s="70">
        <v>0</v>
      </c>
      <c r="H191" s="37">
        <v>0</v>
      </c>
      <c r="I191" s="22">
        <v>0</v>
      </c>
      <c r="J191" s="37">
        <v>0</v>
      </c>
      <c r="K191" s="22">
        <v>0</v>
      </c>
      <c r="L191" s="37">
        <v>0</v>
      </c>
      <c r="M191" s="37">
        <v>0</v>
      </c>
      <c r="N191" s="37">
        <v>0</v>
      </c>
      <c r="O191" s="22">
        <v>0</v>
      </c>
      <c r="P191" s="37">
        <f t="shared" ref="P191:R212" si="270">ROUND(O191+(O191/O$213*O$214),2)</f>
        <v>0</v>
      </c>
      <c r="Q191" s="22">
        <v>659.48</v>
      </c>
      <c r="R191" s="37">
        <f t="shared" si="270"/>
        <v>648.92999999999995</v>
      </c>
      <c r="S191" s="22">
        <v>0</v>
      </c>
      <c r="T191" s="37">
        <f t="shared" ref="T191:Z212" si="271">ROUND(S191+(S191/S$213*S$214),2)</f>
        <v>0</v>
      </c>
      <c r="U191" s="22">
        <v>0</v>
      </c>
      <c r="V191" s="37">
        <f t="shared" si="271"/>
        <v>0</v>
      </c>
      <c r="W191" s="22">
        <v>0</v>
      </c>
      <c r="X191" s="37">
        <f t="shared" si="271"/>
        <v>0</v>
      </c>
      <c r="Y191" s="22">
        <v>0</v>
      </c>
      <c r="Z191" s="37">
        <f t="shared" si="271"/>
        <v>0</v>
      </c>
      <c r="AA191" s="260"/>
      <c r="AB191" s="261">
        <f t="shared" si="268"/>
        <v>1042.55</v>
      </c>
      <c r="AC191" s="37">
        <f t="shared" si="269"/>
        <v>1059.48</v>
      </c>
    </row>
    <row r="192" spans="1:29" x14ac:dyDescent="0.2">
      <c r="A192" s="9" t="s">
        <v>49</v>
      </c>
      <c r="C192" s="22">
        <v>176175.1</v>
      </c>
      <c r="D192" s="37">
        <v>173363.64</v>
      </c>
      <c r="E192" s="70">
        <v>158638.84</v>
      </c>
      <c r="F192" s="37">
        <v>156093.95000000001</v>
      </c>
      <c r="G192" s="261">
        <v>196949.21</v>
      </c>
      <c r="H192" s="37">
        <v>193794.68</v>
      </c>
      <c r="I192" s="22">
        <v>199944.26</v>
      </c>
      <c r="J192" s="37">
        <v>196727.92</v>
      </c>
      <c r="K192" s="22">
        <v>184470.61</v>
      </c>
      <c r="L192" s="37">
        <v>181537.94</v>
      </c>
      <c r="M192" s="37">
        <v>38533.81</v>
      </c>
      <c r="N192" s="37">
        <v>37915.26</v>
      </c>
      <c r="O192" s="22">
        <v>204760.36</v>
      </c>
      <c r="P192" s="37">
        <f t="shared" si="270"/>
        <v>201477.08</v>
      </c>
      <c r="Q192" s="22">
        <v>290400.95</v>
      </c>
      <c r="R192" s="37">
        <f t="shared" si="270"/>
        <v>285755.78000000003</v>
      </c>
      <c r="S192" s="22">
        <v>421288.05</v>
      </c>
      <c r="T192" s="37">
        <f t="shared" si="271"/>
        <v>414527.12</v>
      </c>
      <c r="U192" s="22">
        <v>248095.18</v>
      </c>
      <c r="V192" s="37">
        <f t="shared" si="271"/>
        <v>243957.82</v>
      </c>
      <c r="W192" s="22">
        <v>238217.23</v>
      </c>
      <c r="X192" s="37">
        <f t="shared" si="271"/>
        <v>234432.63</v>
      </c>
      <c r="Y192" s="22">
        <v>194565.68</v>
      </c>
      <c r="Z192" s="37">
        <f t="shared" si="271"/>
        <v>191416.28</v>
      </c>
      <c r="AA192" s="260"/>
      <c r="AB192" s="261">
        <f t="shared" si="268"/>
        <v>2511000.1</v>
      </c>
      <c r="AC192" s="37">
        <f t="shared" si="269"/>
        <v>2552039.2800000003</v>
      </c>
    </row>
    <row r="193" spans="1:29" x14ac:dyDescent="0.2">
      <c r="A193" s="9" t="s">
        <v>23</v>
      </c>
      <c r="C193" s="22">
        <v>785513.66</v>
      </c>
      <c r="D193" s="37">
        <v>772978.16</v>
      </c>
      <c r="E193" s="70">
        <v>844394.67</v>
      </c>
      <c r="F193" s="37">
        <v>830848.84</v>
      </c>
      <c r="G193" s="70">
        <v>685037.4</v>
      </c>
      <c r="H193" s="37">
        <v>674065.18</v>
      </c>
      <c r="I193" s="22">
        <v>759980.32</v>
      </c>
      <c r="J193" s="37">
        <v>747755.14</v>
      </c>
      <c r="K193" s="22">
        <v>931586.03</v>
      </c>
      <c r="L193" s="37">
        <v>916775.89</v>
      </c>
      <c r="M193" s="37">
        <v>617726.17000000004</v>
      </c>
      <c r="N193" s="37">
        <v>607810.31000000006</v>
      </c>
      <c r="O193" s="22">
        <v>784321.5</v>
      </c>
      <c r="P193" s="37">
        <f t="shared" si="270"/>
        <v>771745.09</v>
      </c>
      <c r="Q193" s="22">
        <v>971483.32</v>
      </c>
      <c r="R193" s="37">
        <f t="shared" si="270"/>
        <v>955943.75</v>
      </c>
      <c r="S193" s="22">
        <v>789692.34</v>
      </c>
      <c r="T193" s="37">
        <f t="shared" si="271"/>
        <v>777019.17</v>
      </c>
      <c r="U193" s="22">
        <v>601926.47</v>
      </c>
      <c r="V193" s="37">
        <f t="shared" si="271"/>
        <v>591888.43999999994</v>
      </c>
      <c r="W193" s="22">
        <v>848575.59</v>
      </c>
      <c r="X193" s="37">
        <f t="shared" si="271"/>
        <v>835094.12</v>
      </c>
      <c r="Y193" s="22">
        <v>377192.89</v>
      </c>
      <c r="Z193" s="37">
        <f t="shared" si="271"/>
        <v>371087.34</v>
      </c>
      <c r="AA193" s="260"/>
      <c r="AB193" s="261">
        <f t="shared" si="268"/>
        <v>8853011.4299999997</v>
      </c>
      <c r="AC193" s="37">
        <f t="shared" si="269"/>
        <v>8997430.3600000013</v>
      </c>
    </row>
    <row r="194" spans="1:29" x14ac:dyDescent="0.2">
      <c r="A194" s="9" t="s">
        <v>24</v>
      </c>
      <c r="C194" s="22">
        <v>145415.96</v>
      </c>
      <c r="D194" s="37">
        <v>143095.35999999999</v>
      </c>
      <c r="E194" s="70">
        <v>139774.59</v>
      </c>
      <c r="F194" s="37">
        <v>137532.32</v>
      </c>
      <c r="G194" s="70">
        <v>170084.8</v>
      </c>
      <c r="H194" s="37">
        <v>167360.56</v>
      </c>
      <c r="I194" s="22">
        <v>142892.89000000001</v>
      </c>
      <c r="J194" s="37">
        <v>140594.29</v>
      </c>
      <c r="K194" s="22">
        <v>140106.59</v>
      </c>
      <c r="L194" s="37">
        <v>137879.21</v>
      </c>
      <c r="M194" s="37">
        <v>151144.45000000001</v>
      </c>
      <c r="N194" s="37">
        <v>148718.25</v>
      </c>
      <c r="O194" s="22">
        <v>135706.59</v>
      </c>
      <c r="P194" s="37">
        <f t="shared" si="270"/>
        <v>133530.57</v>
      </c>
      <c r="Q194" s="22">
        <v>156767.85</v>
      </c>
      <c r="R194" s="37">
        <f t="shared" si="270"/>
        <v>154260.24</v>
      </c>
      <c r="S194" s="22">
        <v>101060.23</v>
      </c>
      <c r="T194" s="37">
        <f t="shared" si="271"/>
        <v>99438.39</v>
      </c>
      <c r="U194" s="22">
        <v>94893.35</v>
      </c>
      <c r="V194" s="37">
        <f t="shared" si="271"/>
        <v>93310.86</v>
      </c>
      <c r="W194" s="22">
        <v>128467.15</v>
      </c>
      <c r="X194" s="37">
        <f t="shared" si="271"/>
        <v>126426.17</v>
      </c>
      <c r="Y194" s="22">
        <v>101303.94</v>
      </c>
      <c r="Z194" s="37">
        <f t="shared" si="271"/>
        <v>99664.15</v>
      </c>
      <c r="AA194" s="260"/>
      <c r="AB194" s="261">
        <f t="shared" si="268"/>
        <v>1581810.3699999999</v>
      </c>
      <c r="AC194" s="37">
        <f t="shared" si="269"/>
        <v>1607618.39</v>
      </c>
    </row>
    <row r="195" spans="1:29" x14ac:dyDescent="0.2">
      <c r="A195" s="9" t="s">
        <v>25</v>
      </c>
      <c r="C195" s="22">
        <v>132179.21</v>
      </c>
      <c r="D195" s="37">
        <v>130069.85</v>
      </c>
      <c r="E195" s="70">
        <v>170364.85</v>
      </c>
      <c r="F195" s="37">
        <v>167631.85</v>
      </c>
      <c r="G195" s="70">
        <v>150837.85999999999</v>
      </c>
      <c r="H195" s="37">
        <v>148421.9</v>
      </c>
      <c r="I195" s="22">
        <v>154674.37</v>
      </c>
      <c r="J195" s="37">
        <v>152186.25</v>
      </c>
      <c r="K195" s="22">
        <v>144530.65</v>
      </c>
      <c r="L195" s="37">
        <v>142232.94</v>
      </c>
      <c r="M195" s="37">
        <v>129141.57</v>
      </c>
      <c r="N195" s="37">
        <v>127068.57</v>
      </c>
      <c r="O195" s="22">
        <v>118627.01</v>
      </c>
      <c r="P195" s="37">
        <f t="shared" si="270"/>
        <v>116724.85</v>
      </c>
      <c r="Q195" s="22">
        <v>166475.95000000001</v>
      </c>
      <c r="R195" s="37">
        <f t="shared" si="270"/>
        <v>163813.04999999999</v>
      </c>
      <c r="S195" s="22">
        <v>97865.81</v>
      </c>
      <c r="T195" s="37">
        <f t="shared" si="271"/>
        <v>96295.24</v>
      </c>
      <c r="U195" s="22">
        <v>111925.57</v>
      </c>
      <c r="V195" s="37">
        <f t="shared" si="271"/>
        <v>110059.04</v>
      </c>
      <c r="W195" s="22">
        <v>120955.77</v>
      </c>
      <c r="X195" s="37">
        <f t="shared" si="271"/>
        <v>119034.12</v>
      </c>
      <c r="Y195" s="22">
        <v>112732.51</v>
      </c>
      <c r="Z195" s="37">
        <f t="shared" si="271"/>
        <v>110907.73</v>
      </c>
      <c r="AA195" s="260"/>
      <c r="AB195" s="261">
        <f t="shared" si="268"/>
        <v>1584445.3900000001</v>
      </c>
      <c r="AC195" s="37">
        <f t="shared" si="269"/>
        <v>1610311.1300000001</v>
      </c>
    </row>
    <row r="196" spans="1:29" x14ac:dyDescent="0.2">
      <c r="A196" s="9" t="s">
        <v>26</v>
      </c>
      <c r="C196" s="22">
        <v>2118978.65</v>
      </c>
      <c r="D196" s="37">
        <v>2085163.24</v>
      </c>
      <c r="E196" s="70">
        <v>2553554.65</v>
      </c>
      <c r="F196" s="37">
        <v>2512590.39</v>
      </c>
      <c r="G196" s="70">
        <v>2340196.19</v>
      </c>
      <c r="H196" s="37">
        <v>2302713.36</v>
      </c>
      <c r="I196" s="22">
        <v>2476353.9500000002</v>
      </c>
      <c r="J196" s="37">
        <v>2436518.87</v>
      </c>
      <c r="K196" s="22">
        <v>2325542.75</v>
      </c>
      <c r="L196" s="37">
        <v>2288571.81</v>
      </c>
      <c r="M196" s="37">
        <v>2251381.44</v>
      </c>
      <c r="N196" s="37">
        <v>2215241.84</v>
      </c>
      <c r="O196" s="22">
        <v>2251769.56</v>
      </c>
      <c r="P196" s="37">
        <f t="shared" si="270"/>
        <v>2215662.98</v>
      </c>
      <c r="Q196" s="22">
        <v>2998280.73</v>
      </c>
      <c r="R196" s="37">
        <f t="shared" si="270"/>
        <v>2950321.09</v>
      </c>
      <c r="S196" s="22">
        <v>1794895.85</v>
      </c>
      <c r="T196" s="37">
        <f t="shared" si="271"/>
        <v>1766090.94</v>
      </c>
      <c r="U196" s="22">
        <v>1885566.76</v>
      </c>
      <c r="V196" s="37">
        <f t="shared" si="271"/>
        <v>1854122.08</v>
      </c>
      <c r="W196" s="22">
        <v>2239295.0499999998</v>
      </c>
      <c r="X196" s="37">
        <f t="shared" si="271"/>
        <v>2203718.9900000002</v>
      </c>
      <c r="Y196" s="22">
        <v>1991835.7</v>
      </c>
      <c r="Z196" s="37">
        <f t="shared" si="271"/>
        <v>1959594.25</v>
      </c>
      <c r="AA196" s="260"/>
      <c r="AB196" s="261">
        <f t="shared" si="268"/>
        <v>26790309.840000004</v>
      </c>
      <c r="AC196" s="37">
        <f t="shared" si="269"/>
        <v>27227651.280000005</v>
      </c>
    </row>
    <row r="197" spans="1:29" x14ac:dyDescent="0.2">
      <c r="A197" s="9" t="s">
        <v>50</v>
      </c>
      <c r="C197" s="22">
        <v>39849.15</v>
      </c>
      <c r="D197" s="37">
        <v>39213.22</v>
      </c>
      <c r="E197" s="70">
        <v>50156.639999999999</v>
      </c>
      <c r="F197" s="37">
        <v>49352.02</v>
      </c>
      <c r="G197" s="70">
        <v>91374.21</v>
      </c>
      <c r="H197" s="37">
        <v>89910.67</v>
      </c>
      <c r="I197" s="22">
        <v>56611.81</v>
      </c>
      <c r="J197" s="37">
        <v>55701.14</v>
      </c>
      <c r="K197" s="22">
        <v>48730.77</v>
      </c>
      <c r="L197" s="37">
        <v>47956.06</v>
      </c>
      <c r="M197" s="37">
        <v>59529.96</v>
      </c>
      <c r="N197" s="37">
        <v>58574.37</v>
      </c>
      <c r="O197" s="22">
        <v>38604.89</v>
      </c>
      <c r="P197" s="37">
        <f t="shared" si="270"/>
        <v>37985.870000000003</v>
      </c>
      <c r="Q197" s="22">
        <v>38507.1</v>
      </c>
      <c r="R197" s="37">
        <f t="shared" si="270"/>
        <v>37891.15</v>
      </c>
      <c r="S197" s="22">
        <v>15029.94</v>
      </c>
      <c r="T197" s="37">
        <f t="shared" si="271"/>
        <v>14788.74</v>
      </c>
      <c r="U197" s="22">
        <v>13441.84</v>
      </c>
      <c r="V197" s="37">
        <f t="shared" si="271"/>
        <v>13217.68</v>
      </c>
      <c r="W197" s="22">
        <v>20636.11</v>
      </c>
      <c r="X197" s="37">
        <f t="shared" si="271"/>
        <v>20308.259999999998</v>
      </c>
      <c r="Y197" s="22">
        <v>18051.849999999999</v>
      </c>
      <c r="Z197" s="37">
        <f t="shared" si="271"/>
        <v>17759.650000000001</v>
      </c>
      <c r="AA197" s="260"/>
      <c r="AB197" s="261">
        <f t="shared" si="268"/>
        <v>482658.83</v>
      </c>
      <c r="AC197" s="37">
        <f t="shared" si="269"/>
        <v>490524.27</v>
      </c>
    </row>
    <row r="198" spans="1:29" x14ac:dyDescent="0.2">
      <c r="A198" s="9" t="s">
        <v>55</v>
      </c>
      <c r="C198" s="22">
        <v>284139.21999999997</v>
      </c>
      <c r="D198" s="37">
        <v>279604.83</v>
      </c>
      <c r="E198" s="70">
        <v>277415.51</v>
      </c>
      <c r="F198" s="37">
        <v>272965.2</v>
      </c>
      <c r="G198" s="70">
        <v>277949.23</v>
      </c>
      <c r="H198" s="37">
        <v>273497.33</v>
      </c>
      <c r="I198" s="22">
        <v>293570.64</v>
      </c>
      <c r="J198" s="37">
        <v>288848.21000000002</v>
      </c>
      <c r="K198" s="22">
        <v>301731.89</v>
      </c>
      <c r="L198" s="37">
        <v>296935.03000000003</v>
      </c>
      <c r="M198" s="37">
        <v>314600.63</v>
      </c>
      <c r="N198" s="37">
        <v>309550.59999999998</v>
      </c>
      <c r="O198" s="22">
        <v>313085.40000000002</v>
      </c>
      <c r="P198" s="37">
        <f t="shared" si="270"/>
        <v>308065.15000000002</v>
      </c>
      <c r="Q198" s="22">
        <v>304084.09999999998</v>
      </c>
      <c r="R198" s="37">
        <f t="shared" si="270"/>
        <v>299220.06</v>
      </c>
      <c r="S198" s="22">
        <v>278291.78000000003</v>
      </c>
      <c r="T198" s="37">
        <f t="shared" si="271"/>
        <v>273825.69</v>
      </c>
      <c r="U198" s="22">
        <v>274349.8</v>
      </c>
      <c r="V198" s="37">
        <f t="shared" si="271"/>
        <v>269774.59999999998</v>
      </c>
      <c r="W198" s="22">
        <v>296669.52</v>
      </c>
      <c r="X198" s="37">
        <f t="shared" si="271"/>
        <v>291956.28000000003</v>
      </c>
      <c r="Y198" s="22">
        <v>281591.33</v>
      </c>
      <c r="Z198" s="37">
        <f t="shared" si="271"/>
        <v>277033.27</v>
      </c>
      <c r="AA198" s="260"/>
      <c r="AB198" s="261">
        <f t="shared" si="268"/>
        <v>3441276.2500000005</v>
      </c>
      <c r="AC198" s="37">
        <f t="shared" si="269"/>
        <v>3497479.0500000003</v>
      </c>
    </row>
    <row r="199" spans="1:29" x14ac:dyDescent="0.2">
      <c r="A199" s="9" t="s">
        <v>51</v>
      </c>
      <c r="C199" s="22">
        <v>73752.100000000006</v>
      </c>
      <c r="D199" s="37">
        <v>72575.14</v>
      </c>
      <c r="E199" s="70">
        <v>89169.09</v>
      </c>
      <c r="F199" s="37">
        <v>87738.63</v>
      </c>
      <c r="G199" s="70">
        <v>104105.81</v>
      </c>
      <c r="H199" s="37">
        <v>102438.35</v>
      </c>
      <c r="I199" s="22">
        <v>46739.32</v>
      </c>
      <c r="J199" s="37">
        <v>45987.46</v>
      </c>
      <c r="K199" s="22">
        <v>-4433.22</v>
      </c>
      <c r="L199" s="37">
        <v>-4362.74</v>
      </c>
      <c r="M199" s="37">
        <v>111033.06</v>
      </c>
      <c r="N199" s="37">
        <v>109250.74</v>
      </c>
      <c r="O199" s="22">
        <v>86784.08</v>
      </c>
      <c r="P199" s="37">
        <f t="shared" si="270"/>
        <v>85392.52</v>
      </c>
      <c r="Q199" s="22">
        <v>50671.23</v>
      </c>
      <c r="R199" s="37">
        <f t="shared" si="270"/>
        <v>49860.71</v>
      </c>
      <c r="S199" s="22">
        <v>83957.7</v>
      </c>
      <c r="T199" s="37">
        <f t="shared" si="271"/>
        <v>82610.33</v>
      </c>
      <c r="U199" s="22">
        <v>122872.76</v>
      </c>
      <c r="V199" s="37">
        <f t="shared" si="271"/>
        <v>120823.67</v>
      </c>
      <c r="W199" s="22">
        <v>93484.39</v>
      </c>
      <c r="X199" s="37">
        <f t="shared" si="271"/>
        <v>91999.19</v>
      </c>
      <c r="Y199" s="22">
        <v>101361.03</v>
      </c>
      <c r="Z199" s="37">
        <f t="shared" si="271"/>
        <v>99720.320000000007</v>
      </c>
      <c r="AA199" s="260"/>
      <c r="AB199" s="261">
        <f t="shared" si="268"/>
        <v>944034.32000000007</v>
      </c>
      <c r="AC199" s="37">
        <f t="shared" si="269"/>
        <v>959497.35000000009</v>
      </c>
    </row>
    <row r="200" spans="1:29" x14ac:dyDescent="0.2">
      <c r="A200" s="9" t="s">
        <v>52</v>
      </c>
      <c r="C200" s="22">
        <v>124640.9</v>
      </c>
      <c r="D200" s="37">
        <v>122651.84</v>
      </c>
      <c r="E200" s="70">
        <v>156169.78</v>
      </c>
      <c r="F200" s="37">
        <v>153664.5</v>
      </c>
      <c r="G200" s="70">
        <v>145397.22</v>
      </c>
      <c r="H200" s="37">
        <v>143068.4</v>
      </c>
      <c r="I200" s="22">
        <v>132551.21</v>
      </c>
      <c r="J200" s="37">
        <v>130418.97</v>
      </c>
      <c r="K200" s="22">
        <v>150315.98000000001</v>
      </c>
      <c r="L200" s="37">
        <v>147926.29</v>
      </c>
      <c r="M200" s="22">
        <v>183356.3</v>
      </c>
      <c r="N200" s="37">
        <v>180413.03</v>
      </c>
      <c r="O200" s="22">
        <v>124197.64</v>
      </c>
      <c r="P200" s="37">
        <f t="shared" si="270"/>
        <v>122206.16</v>
      </c>
      <c r="Q200" s="22">
        <v>129863.37</v>
      </c>
      <c r="R200" s="37">
        <f t="shared" si="270"/>
        <v>127786.11</v>
      </c>
      <c r="S200" s="22">
        <v>151234.29</v>
      </c>
      <c r="T200" s="37">
        <f t="shared" si="271"/>
        <v>148807.25</v>
      </c>
      <c r="U200" s="22">
        <v>121547.66</v>
      </c>
      <c r="V200" s="37">
        <f t="shared" si="271"/>
        <v>119520.67</v>
      </c>
      <c r="W200" s="22">
        <v>142165.01999999999</v>
      </c>
      <c r="X200" s="37">
        <f t="shared" si="271"/>
        <v>139906.42000000001</v>
      </c>
      <c r="Y200" s="22">
        <v>139721.94</v>
      </c>
      <c r="Z200" s="37">
        <f t="shared" si="271"/>
        <v>137460.29</v>
      </c>
      <c r="AA200" s="260"/>
      <c r="AB200" s="261">
        <f t="shared" si="268"/>
        <v>1673829.93</v>
      </c>
      <c r="AC200" s="37">
        <f t="shared" si="269"/>
        <v>1701161.3099999998</v>
      </c>
    </row>
    <row r="201" spans="1:29" x14ac:dyDescent="0.2">
      <c r="A201" s="9" t="s">
        <v>56</v>
      </c>
      <c r="C201" s="22">
        <v>744132.78</v>
      </c>
      <c r="D201" s="37">
        <v>732257.65</v>
      </c>
      <c r="E201" s="70">
        <v>616402.39</v>
      </c>
      <c r="F201" s="37">
        <v>606514.03</v>
      </c>
      <c r="G201" s="70">
        <v>521285.62</v>
      </c>
      <c r="H201" s="37">
        <v>512936.21</v>
      </c>
      <c r="I201" s="22">
        <v>609488.29</v>
      </c>
      <c r="J201" s="37">
        <v>599683.94999999995</v>
      </c>
      <c r="K201" s="22">
        <v>543804.94999999995</v>
      </c>
      <c r="L201" s="37">
        <v>535159.67000000004</v>
      </c>
      <c r="M201" s="22">
        <v>527231.18000000005</v>
      </c>
      <c r="N201" s="37">
        <v>518767.97</v>
      </c>
      <c r="O201" s="22">
        <v>587737.84</v>
      </c>
      <c r="P201" s="37">
        <f t="shared" si="270"/>
        <v>578313.6</v>
      </c>
      <c r="Q201" s="22">
        <v>597432.57999999996</v>
      </c>
      <c r="R201" s="37">
        <f t="shared" si="270"/>
        <v>587876.22</v>
      </c>
      <c r="S201" s="22">
        <v>527857.4</v>
      </c>
      <c r="T201" s="37">
        <f t="shared" si="271"/>
        <v>519386.22</v>
      </c>
      <c r="U201" s="22">
        <v>680815.96</v>
      </c>
      <c r="V201" s="37">
        <f t="shared" si="271"/>
        <v>669462.31999999995</v>
      </c>
      <c r="W201" s="22">
        <v>597613.24</v>
      </c>
      <c r="X201" s="37">
        <f t="shared" si="271"/>
        <v>588118.86</v>
      </c>
      <c r="Y201" s="22">
        <v>563930.73</v>
      </c>
      <c r="Z201" s="37">
        <f t="shared" si="271"/>
        <v>554802.5</v>
      </c>
      <c r="AA201" s="260"/>
      <c r="AB201" s="261">
        <f t="shared" si="268"/>
        <v>7003279.2000000002</v>
      </c>
      <c r="AC201" s="37">
        <f t="shared" si="269"/>
        <v>7117732.9600000009</v>
      </c>
    </row>
    <row r="202" spans="1:29" x14ac:dyDescent="0.2">
      <c r="A202" s="9" t="s">
        <v>53</v>
      </c>
      <c r="C202" s="22">
        <v>11281.97</v>
      </c>
      <c r="D202" s="37">
        <v>11101.93</v>
      </c>
      <c r="E202" s="70">
        <v>22719.8</v>
      </c>
      <c r="F202" s="37">
        <v>22355.33</v>
      </c>
      <c r="G202" s="70">
        <v>12137.14</v>
      </c>
      <c r="H202" s="37">
        <v>11942.74</v>
      </c>
      <c r="I202" s="22">
        <v>31221.38</v>
      </c>
      <c r="J202" s="37">
        <v>30719.15</v>
      </c>
      <c r="K202" s="22">
        <v>12864.87</v>
      </c>
      <c r="L202" s="37">
        <v>12660.35</v>
      </c>
      <c r="M202" s="22">
        <v>16061.16</v>
      </c>
      <c r="N202" s="37">
        <v>15803.34</v>
      </c>
      <c r="O202" s="22">
        <v>25165.25</v>
      </c>
      <c r="P202" s="37">
        <f t="shared" si="270"/>
        <v>24761.73</v>
      </c>
      <c r="Q202" s="22">
        <v>13824.2</v>
      </c>
      <c r="R202" s="37">
        <f t="shared" si="270"/>
        <v>13603.07</v>
      </c>
      <c r="S202" s="22">
        <v>9082.56</v>
      </c>
      <c r="T202" s="37">
        <f t="shared" si="271"/>
        <v>8936.7999999999993</v>
      </c>
      <c r="U202" s="22">
        <v>27057.67</v>
      </c>
      <c r="V202" s="37">
        <f t="shared" si="271"/>
        <v>26606.44</v>
      </c>
      <c r="W202" s="22">
        <v>14079.27</v>
      </c>
      <c r="X202" s="37">
        <f t="shared" si="271"/>
        <v>13855.59</v>
      </c>
      <c r="Y202" s="22">
        <v>16483.05</v>
      </c>
      <c r="Z202" s="37">
        <f t="shared" si="271"/>
        <v>16216.24</v>
      </c>
      <c r="AA202" s="260"/>
      <c r="AB202" s="261">
        <f t="shared" si="268"/>
        <v>208562.70999999996</v>
      </c>
      <c r="AC202" s="37">
        <f t="shared" si="269"/>
        <v>211978.31999999998</v>
      </c>
    </row>
    <row r="203" spans="1:29" x14ac:dyDescent="0.2">
      <c r="A203" s="9" t="s">
        <v>57</v>
      </c>
      <c r="C203" s="22">
        <v>70846.649999999994</v>
      </c>
      <c r="D203" s="37">
        <v>69716.05</v>
      </c>
      <c r="E203" s="70">
        <v>108377.91</v>
      </c>
      <c r="F203" s="37">
        <v>106639.31</v>
      </c>
      <c r="G203" s="70">
        <v>91891.06</v>
      </c>
      <c r="H203" s="37">
        <v>90419.24</v>
      </c>
      <c r="I203" s="22">
        <v>90891.58</v>
      </c>
      <c r="J203" s="37">
        <v>89429.48</v>
      </c>
      <c r="K203" s="22">
        <v>101079.56</v>
      </c>
      <c r="L203" s="37">
        <v>99472.62</v>
      </c>
      <c r="M203" s="22">
        <v>84329.42</v>
      </c>
      <c r="N203" s="37">
        <v>82975.75</v>
      </c>
      <c r="O203" s="22">
        <v>58823.91</v>
      </c>
      <c r="P203" s="37">
        <f t="shared" si="270"/>
        <v>57880.68</v>
      </c>
      <c r="Q203" s="22">
        <v>81034.490000000005</v>
      </c>
      <c r="R203" s="37">
        <f t="shared" si="270"/>
        <v>79738.289999999994</v>
      </c>
      <c r="S203" s="22">
        <v>46196.77</v>
      </c>
      <c r="T203" s="37">
        <f t="shared" si="271"/>
        <v>45455.39</v>
      </c>
      <c r="U203" s="22">
        <v>40799.93</v>
      </c>
      <c r="V203" s="37">
        <f t="shared" si="271"/>
        <v>40119.53</v>
      </c>
      <c r="W203" s="22">
        <v>72271.929999999993</v>
      </c>
      <c r="X203" s="37">
        <f t="shared" si="271"/>
        <v>71123.73</v>
      </c>
      <c r="Y203" s="22">
        <v>53589.52</v>
      </c>
      <c r="Z203" s="37">
        <f t="shared" si="271"/>
        <v>52722.080000000002</v>
      </c>
      <c r="AA203" s="260"/>
      <c r="AB203" s="261">
        <f t="shared" si="268"/>
        <v>885692.15</v>
      </c>
      <c r="AC203" s="37">
        <f t="shared" si="269"/>
        <v>900132.73000000021</v>
      </c>
    </row>
    <row r="204" spans="1:29" x14ac:dyDescent="0.2">
      <c r="A204" s="9" t="s">
        <v>58</v>
      </c>
      <c r="C204" s="70">
        <v>39677.339999999997</v>
      </c>
      <c r="D204" s="37">
        <v>39044.160000000003</v>
      </c>
      <c r="E204" s="70">
        <v>29875.63</v>
      </c>
      <c r="F204" s="37">
        <v>29396.36</v>
      </c>
      <c r="G204" s="70">
        <v>19371.54</v>
      </c>
      <c r="H204" s="37">
        <v>19061.27</v>
      </c>
      <c r="I204" s="22">
        <v>21801.31</v>
      </c>
      <c r="J204" s="37">
        <v>21450.61</v>
      </c>
      <c r="K204" s="22">
        <v>67373.070000000007</v>
      </c>
      <c r="L204" s="37">
        <v>66301.990000000005</v>
      </c>
      <c r="M204" s="22">
        <v>62418.38</v>
      </c>
      <c r="N204" s="37">
        <v>61416.43</v>
      </c>
      <c r="O204" s="22">
        <v>58800.88</v>
      </c>
      <c r="P204" s="37">
        <f t="shared" si="270"/>
        <v>57858.02</v>
      </c>
      <c r="Q204" s="22">
        <v>51847.7</v>
      </c>
      <c r="R204" s="37">
        <f t="shared" si="270"/>
        <v>51018.36</v>
      </c>
      <c r="S204" s="22">
        <v>44252.82</v>
      </c>
      <c r="T204" s="37">
        <f t="shared" si="271"/>
        <v>43542.64</v>
      </c>
      <c r="U204" s="22">
        <v>50591.59</v>
      </c>
      <c r="V204" s="37">
        <f t="shared" si="271"/>
        <v>49747.9</v>
      </c>
      <c r="W204" s="22">
        <v>58984.15</v>
      </c>
      <c r="X204" s="37">
        <f t="shared" si="271"/>
        <v>58047.06</v>
      </c>
      <c r="Y204" s="22">
        <v>49148.07</v>
      </c>
      <c r="Z204" s="37">
        <f t="shared" si="271"/>
        <v>48352.52</v>
      </c>
      <c r="AA204" s="260"/>
      <c r="AB204" s="261">
        <f t="shared" si="268"/>
        <v>545237.32000000007</v>
      </c>
      <c r="AC204" s="37">
        <f t="shared" si="269"/>
        <v>554142.48</v>
      </c>
    </row>
    <row r="205" spans="1:29" x14ac:dyDescent="0.2">
      <c r="A205" s="9" t="s">
        <v>59</v>
      </c>
      <c r="C205" s="22">
        <v>375360.27</v>
      </c>
      <c r="D205" s="37">
        <v>369370.14</v>
      </c>
      <c r="E205" s="70">
        <v>361348.99</v>
      </c>
      <c r="F205" s="37">
        <v>355552.21</v>
      </c>
      <c r="G205" s="70">
        <v>363878.22</v>
      </c>
      <c r="H205" s="37">
        <v>358050</v>
      </c>
      <c r="I205" s="22">
        <v>391414.8</v>
      </c>
      <c r="J205" s="37">
        <v>385118.43</v>
      </c>
      <c r="K205" s="22">
        <v>394800.15</v>
      </c>
      <c r="L205" s="37">
        <v>388523.71</v>
      </c>
      <c r="M205" s="22">
        <v>352509.4</v>
      </c>
      <c r="N205" s="37">
        <v>346850.85</v>
      </c>
      <c r="O205" s="22">
        <v>348426.83</v>
      </c>
      <c r="P205" s="37">
        <f t="shared" si="270"/>
        <v>342839.89</v>
      </c>
      <c r="Q205" s="22">
        <v>412430.53</v>
      </c>
      <c r="R205" s="37">
        <f t="shared" si="270"/>
        <v>405833.41</v>
      </c>
      <c r="S205" s="22">
        <v>359657.23</v>
      </c>
      <c r="T205" s="37">
        <f t="shared" si="271"/>
        <v>353885.37</v>
      </c>
      <c r="U205" s="22">
        <v>337843.85</v>
      </c>
      <c r="V205" s="37">
        <f t="shared" si="271"/>
        <v>332209.78999999998</v>
      </c>
      <c r="W205" s="22">
        <v>421870.02</v>
      </c>
      <c r="X205" s="37">
        <f t="shared" si="271"/>
        <v>415167.7</v>
      </c>
      <c r="Y205" s="22">
        <v>378482.08</v>
      </c>
      <c r="Z205" s="37">
        <f t="shared" si="271"/>
        <v>372355.67</v>
      </c>
      <c r="AA205" s="260"/>
      <c r="AB205" s="261">
        <f t="shared" si="268"/>
        <v>4425757.1700000009</v>
      </c>
      <c r="AC205" s="37">
        <f t="shared" si="269"/>
        <v>4498022.37</v>
      </c>
    </row>
    <row r="206" spans="1:29" x14ac:dyDescent="0.2">
      <c r="A206" s="9" t="s">
        <v>60</v>
      </c>
      <c r="C206" s="22">
        <v>28321.27</v>
      </c>
      <c r="D206" s="37">
        <v>27869.31</v>
      </c>
      <c r="E206" s="70">
        <v>54947.16</v>
      </c>
      <c r="F206" s="37">
        <v>54065.69</v>
      </c>
      <c r="G206" s="70">
        <v>38660.01</v>
      </c>
      <c r="H206" s="37">
        <v>38040.79</v>
      </c>
      <c r="I206" s="22">
        <v>48255.05</v>
      </c>
      <c r="J206" s="37">
        <v>47478.81</v>
      </c>
      <c r="K206" s="22">
        <v>32954.949999999997</v>
      </c>
      <c r="L206" s="37">
        <v>32431.040000000001</v>
      </c>
      <c r="M206" s="22">
        <v>23811.59</v>
      </c>
      <c r="N206" s="37">
        <v>23429.360000000001</v>
      </c>
      <c r="O206" s="22">
        <v>34343.9</v>
      </c>
      <c r="P206" s="37">
        <f t="shared" si="270"/>
        <v>33793.199999999997</v>
      </c>
      <c r="Q206" s="22">
        <v>44483.66</v>
      </c>
      <c r="R206" s="37">
        <f t="shared" si="270"/>
        <v>43772.11</v>
      </c>
      <c r="S206" s="22">
        <v>32645.59</v>
      </c>
      <c r="T206" s="37">
        <f t="shared" si="271"/>
        <v>32121.69</v>
      </c>
      <c r="U206" s="22">
        <v>31166.27</v>
      </c>
      <c r="V206" s="37">
        <f t="shared" si="271"/>
        <v>30646.53</v>
      </c>
      <c r="W206" s="22">
        <v>35672.050000000003</v>
      </c>
      <c r="X206" s="37">
        <f t="shared" si="271"/>
        <v>35105.32</v>
      </c>
      <c r="Y206" s="22">
        <v>23630.2</v>
      </c>
      <c r="Z206" s="37">
        <f t="shared" si="271"/>
        <v>23247.7</v>
      </c>
      <c r="AA206" s="260"/>
      <c r="AB206" s="261">
        <f t="shared" si="268"/>
        <v>422001.55000000005</v>
      </c>
      <c r="AC206" s="37">
        <f t="shared" si="269"/>
        <v>428891.7</v>
      </c>
    </row>
    <row r="207" spans="1:29" x14ac:dyDescent="0.2">
      <c r="A207" s="9" t="s">
        <v>61</v>
      </c>
      <c r="C207" s="22">
        <v>884122.82</v>
      </c>
      <c r="D207" s="37">
        <v>870013.68</v>
      </c>
      <c r="E207" s="70">
        <v>909432.07</v>
      </c>
      <c r="F207" s="37">
        <v>894842.91</v>
      </c>
      <c r="G207" s="70">
        <v>1024746.99</v>
      </c>
      <c r="H207" s="37">
        <v>1008333.66</v>
      </c>
      <c r="I207" s="22">
        <v>1078408.57</v>
      </c>
      <c r="J207" s="37">
        <v>1061061.0900000001</v>
      </c>
      <c r="K207" s="22">
        <v>941979.91</v>
      </c>
      <c r="L207" s="37">
        <v>927004.53</v>
      </c>
      <c r="M207" s="22">
        <v>833918.05</v>
      </c>
      <c r="N207" s="37">
        <v>820531.84</v>
      </c>
      <c r="O207" s="22">
        <v>698448.29</v>
      </c>
      <c r="P207" s="37">
        <f t="shared" si="270"/>
        <v>687248.84</v>
      </c>
      <c r="Q207" s="22">
        <v>819028.57</v>
      </c>
      <c r="R207" s="37">
        <f t="shared" si="270"/>
        <v>805927.62</v>
      </c>
      <c r="S207" s="22">
        <v>658235.39</v>
      </c>
      <c r="T207" s="37">
        <f t="shared" si="271"/>
        <v>647671.87</v>
      </c>
      <c r="U207" s="22">
        <v>614360.37</v>
      </c>
      <c r="V207" s="37">
        <f t="shared" si="271"/>
        <v>604114.98</v>
      </c>
      <c r="W207" s="22">
        <v>802757.37</v>
      </c>
      <c r="X207" s="37">
        <f t="shared" si="271"/>
        <v>790003.83</v>
      </c>
      <c r="Y207" s="22">
        <v>822273.8</v>
      </c>
      <c r="Z207" s="37">
        <f t="shared" si="271"/>
        <v>808963.82</v>
      </c>
      <c r="AA207" s="260"/>
      <c r="AB207" s="261">
        <f t="shared" si="268"/>
        <v>9925718.6699999999</v>
      </c>
      <c r="AC207" s="37">
        <f t="shared" si="269"/>
        <v>10087712.199999999</v>
      </c>
    </row>
    <row r="208" spans="1:29" x14ac:dyDescent="0.2">
      <c r="A208" s="9" t="s">
        <v>65</v>
      </c>
      <c r="C208" s="22">
        <v>638085.16</v>
      </c>
      <c r="D208" s="37">
        <v>627902.37</v>
      </c>
      <c r="E208" s="70">
        <v>883334.27</v>
      </c>
      <c r="F208" s="37">
        <v>869163.77</v>
      </c>
      <c r="G208" s="260">
        <v>723918.37</v>
      </c>
      <c r="H208" s="37">
        <v>712323.4</v>
      </c>
      <c r="I208" s="22">
        <v>691510.1</v>
      </c>
      <c r="J208" s="37">
        <v>680386.34</v>
      </c>
      <c r="K208" s="22">
        <v>713061.87</v>
      </c>
      <c r="L208" s="37">
        <v>701725.78</v>
      </c>
      <c r="M208" s="22">
        <v>625573.46</v>
      </c>
      <c r="N208" s="37">
        <v>615531.64</v>
      </c>
      <c r="O208" s="22">
        <v>608746.57999999996</v>
      </c>
      <c r="P208" s="37">
        <f t="shared" si="270"/>
        <v>598985.47</v>
      </c>
      <c r="Q208" s="22">
        <v>919522.74</v>
      </c>
      <c r="R208" s="37">
        <f t="shared" si="270"/>
        <v>904814.32</v>
      </c>
      <c r="S208" s="22">
        <v>662364.57999999996</v>
      </c>
      <c r="T208" s="37">
        <f t="shared" si="271"/>
        <v>651734.80000000005</v>
      </c>
      <c r="U208" s="22">
        <v>653758.76</v>
      </c>
      <c r="V208" s="37">
        <f t="shared" si="271"/>
        <v>642856.34</v>
      </c>
      <c r="W208" s="22">
        <v>854501.21</v>
      </c>
      <c r="X208" s="37">
        <f t="shared" si="271"/>
        <v>840925.6</v>
      </c>
      <c r="Y208" s="22">
        <v>759147.62</v>
      </c>
      <c r="Z208" s="37">
        <f t="shared" si="271"/>
        <v>746859.45</v>
      </c>
      <c r="AA208" s="260"/>
      <c r="AB208" s="261">
        <f t="shared" si="268"/>
        <v>8593209.2799999993</v>
      </c>
      <c r="AC208" s="37">
        <f t="shared" si="269"/>
        <v>8733524.7200000007</v>
      </c>
    </row>
    <row r="209" spans="1:29" x14ac:dyDescent="0.2">
      <c r="A209" s="9" t="s">
        <v>62</v>
      </c>
      <c r="C209" s="22">
        <v>0</v>
      </c>
      <c r="D209" s="37">
        <v>0</v>
      </c>
      <c r="E209" s="37">
        <v>803.37</v>
      </c>
      <c r="F209" s="37">
        <v>790.48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f t="shared" si="270"/>
        <v>0</v>
      </c>
      <c r="Q209" s="37">
        <v>0</v>
      </c>
      <c r="R209" s="37">
        <f t="shared" si="270"/>
        <v>0</v>
      </c>
      <c r="S209" s="37">
        <v>383.5</v>
      </c>
      <c r="T209" s="37">
        <f t="shared" si="271"/>
        <v>377.35</v>
      </c>
      <c r="U209" s="22">
        <v>0</v>
      </c>
      <c r="V209" s="37">
        <f t="shared" si="271"/>
        <v>0</v>
      </c>
      <c r="W209" s="22">
        <v>0</v>
      </c>
      <c r="X209" s="37">
        <f t="shared" si="271"/>
        <v>0</v>
      </c>
      <c r="Y209" s="22">
        <v>0</v>
      </c>
      <c r="Z209" s="37">
        <f t="shared" si="271"/>
        <v>0</v>
      </c>
      <c r="AA209" s="260"/>
      <c r="AB209" s="261">
        <f t="shared" si="268"/>
        <v>1167.83</v>
      </c>
      <c r="AC209" s="37">
        <f t="shared" si="269"/>
        <v>1186.8699999999999</v>
      </c>
    </row>
    <row r="210" spans="1:29" x14ac:dyDescent="0.2">
      <c r="A210" s="9" t="s">
        <v>93</v>
      </c>
      <c r="C210" s="22">
        <v>12144.46</v>
      </c>
      <c r="D210" s="37">
        <v>11950.619999999999</v>
      </c>
      <c r="E210" s="70">
        <v>17618.73</v>
      </c>
      <c r="F210" s="37">
        <v>17336.09</v>
      </c>
      <c r="G210" s="70">
        <v>9565.619999999999</v>
      </c>
      <c r="H210" s="37">
        <v>9412.41</v>
      </c>
      <c r="I210" s="22">
        <v>13396.71</v>
      </c>
      <c r="J210" s="37">
        <v>13181.21</v>
      </c>
      <c r="K210" s="22">
        <v>15802.29</v>
      </c>
      <c r="L210" s="37">
        <v>15551.06</v>
      </c>
      <c r="M210" s="22">
        <v>19963.3</v>
      </c>
      <c r="N210" s="37">
        <v>19642.84</v>
      </c>
      <c r="O210" s="22">
        <f>8849.17+4540.45</f>
        <v>13389.619999999999</v>
      </c>
      <c r="P210" s="37">
        <f>ROUND(O210+(O210/O$213*O$214),2)+0.01</f>
        <v>13174.93</v>
      </c>
      <c r="Q210" s="22">
        <f>18077.69+4079.01</f>
        <v>22156.699999999997</v>
      </c>
      <c r="R210" s="37">
        <f>ROUND(Q210+(Q210/Q$213*Q$214),2)</f>
        <v>21802.29</v>
      </c>
      <c r="S210" s="22">
        <f>10629.99+2777.01</f>
        <v>13407</v>
      </c>
      <c r="T210" s="37">
        <f>ROUND(S210+(S210/S$213*S$214),2)-0.01</f>
        <v>13191.83</v>
      </c>
      <c r="U210" s="22">
        <f>13236.87+4500.72</f>
        <v>17737.59</v>
      </c>
      <c r="V210" s="37">
        <f>ROUND(U210+(U210/U$213*U$214),2)-0.01</f>
        <v>17441.780000000002</v>
      </c>
      <c r="W210" s="70">
        <f>23001.64+5902.07</f>
        <v>28903.71</v>
      </c>
      <c r="X210" s="37">
        <f>ROUND(W210+(W210/W$213*W$214),2)+0.01</f>
        <v>28444.519999999997</v>
      </c>
      <c r="Y210" s="22">
        <f>18240.44+10890.7</f>
        <v>29131.14</v>
      </c>
      <c r="Z210" s="37">
        <f>ROUND(Y210+(Y210/Y$213*Y$214),2)</f>
        <v>28659.599999999999</v>
      </c>
      <c r="AA210" s="260"/>
      <c r="AB210" s="261">
        <f t="shared" si="268"/>
        <v>209789.18</v>
      </c>
      <c r="AC210" s="37">
        <f t="shared" si="269"/>
        <v>213216.87</v>
      </c>
    </row>
    <row r="211" spans="1:29" x14ac:dyDescent="0.2">
      <c r="A211" s="9" t="s">
        <v>67</v>
      </c>
      <c r="C211" s="22">
        <v>821326.14999999991</v>
      </c>
      <c r="D211" s="37">
        <v>808219.14</v>
      </c>
      <c r="E211" s="70">
        <v>951906.67999999993</v>
      </c>
      <c r="F211" s="37">
        <v>936636.14</v>
      </c>
      <c r="G211" s="70">
        <v>880675.23</v>
      </c>
      <c r="H211" s="37">
        <v>866569.49</v>
      </c>
      <c r="I211" s="22">
        <v>950476.2</v>
      </c>
      <c r="J211" s="37">
        <v>935186.67</v>
      </c>
      <c r="K211" s="22">
        <v>830805.08000000007</v>
      </c>
      <c r="L211" s="37">
        <v>817597.13</v>
      </c>
      <c r="M211" s="22">
        <v>824062.30999999994</v>
      </c>
      <c r="N211" s="37">
        <v>810834.31</v>
      </c>
      <c r="O211" s="22">
        <f>603039.74+221743.55</f>
        <v>824783.29</v>
      </c>
      <c r="P211" s="37">
        <f t="shared" si="270"/>
        <v>811558.09</v>
      </c>
      <c r="Q211" s="22">
        <f>737178.8+260342.3</f>
        <v>997521.10000000009</v>
      </c>
      <c r="R211" s="37">
        <f t="shared" si="270"/>
        <v>981565.04</v>
      </c>
      <c r="S211" s="22">
        <f>547523.83+231859.42</f>
        <v>779383.25</v>
      </c>
      <c r="T211" s="37">
        <f t="shared" si="271"/>
        <v>766875.52</v>
      </c>
      <c r="U211" s="22">
        <f>599058.69+428074.84</f>
        <v>1027133.53</v>
      </c>
      <c r="V211" s="37">
        <f t="shared" si="271"/>
        <v>1010004.52</v>
      </c>
      <c r="W211" s="22">
        <f>577479.27+243849.24</f>
        <v>821328.51</v>
      </c>
      <c r="X211" s="37">
        <f t="shared" si="271"/>
        <v>808279.92</v>
      </c>
      <c r="Y211" s="22">
        <f>587093.04+247949.09</f>
        <v>835042.13</v>
      </c>
      <c r="Z211" s="37">
        <f t="shared" si="271"/>
        <v>821525.47</v>
      </c>
      <c r="AA211" s="260"/>
      <c r="AB211" s="261">
        <f t="shared" si="268"/>
        <v>10374851.440000001</v>
      </c>
      <c r="AC211" s="37">
        <f t="shared" si="269"/>
        <v>10544443.459999999</v>
      </c>
    </row>
    <row r="212" spans="1:29" x14ac:dyDescent="0.2">
      <c r="A212" s="9" t="s">
        <v>97</v>
      </c>
      <c r="C212" s="115">
        <v>30183.73</v>
      </c>
      <c r="D212" s="37">
        <v>29702.05</v>
      </c>
      <c r="E212" s="71">
        <v>33463.089999999997</v>
      </c>
      <c r="F212" s="37">
        <v>32926.269999999997</v>
      </c>
      <c r="G212" s="71">
        <v>31400.46</v>
      </c>
      <c r="H212" s="37">
        <v>30897.52</v>
      </c>
      <c r="I212" s="115">
        <v>32516.87</v>
      </c>
      <c r="J212" s="37">
        <v>31993.8</v>
      </c>
      <c r="K212" s="115">
        <v>31648.02</v>
      </c>
      <c r="L212" s="37">
        <v>31144.89</v>
      </c>
      <c r="M212" s="22">
        <v>28771.07</v>
      </c>
      <c r="N212" s="37">
        <v>28309.23</v>
      </c>
      <c r="O212" s="22">
        <v>28748.29</v>
      </c>
      <c r="P212" s="37">
        <f t="shared" si="270"/>
        <v>28287.32</v>
      </c>
      <c r="Q212" s="22">
        <v>35538.29</v>
      </c>
      <c r="R212" s="37">
        <f t="shared" si="270"/>
        <v>34969.83</v>
      </c>
      <c r="S212" s="107">
        <v>27020.51</v>
      </c>
      <c r="T212" s="37">
        <f t="shared" si="271"/>
        <v>26586.880000000001</v>
      </c>
      <c r="U212" s="22">
        <v>26145</v>
      </c>
      <c r="V212" s="37">
        <f t="shared" si="271"/>
        <v>25708.99</v>
      </c>
      <c r="W212" s="107">
        <v>31052.18</v>
      </c>
      <c r="X212" s="37">
        <f t="shared" si="271"/>
        <v>30558.85</v>
      </c>
      <c r="Y212" s="107">
        <v>26682.959999999999</v>
      </c>
      <c r="Z212" s="37">
        <f t="shared" si="271"/>
        <v>26251.05</v>
      </c>
      <c r="AA212" s="260"/>
      <c r="AB212" s="261">
        <f t="shared" si="268"/>
        <v>357336.68</v>
      </c>
      <c r="AC212" s="262">
        <f t="shared" si="269"/>
        <v>363170.47000000003</v>
      </c>
    </row>
    <row r="213" spans="1:29" x14ac:dyDescent="0.2">
      <c r="A213" s="263" t="s">
        <v>44</v>
      </c>
      <c r="C213" s="34">
        <v>7587912.4399999995</v>
      </c>
      <c r="D213" s="34">
        <v>7466821.8599999994</v>
      </c>
      <c r="E213" s="34">
        <v>8454695.5500000026</v>
      </c>
      <c r="F213" s="72">
        <v>8319064.8600000003</v>
      </c>
      <c r="G213" s="34">
        <v>7913763.8999999994</v>
      </c>
      <c r="H213" s="72">
        <v>7787009.46</v>
      </c>
      <c r="I213" s="72">
        <v>8237157.0599999996</v>
      </c>
      <c r="J213" s="72">
        <v>8104652.6600000001</v>
      </c>
      <c r="K213" s="72">
        <v>7921208.6700000009</v>
      </c>
      <c r="L213" s="72">
        <v>7795279.1399999997</v>
      </c>
      <c r="M213" s="72">
        <v>7266530.1699999999</v>
      </c>
      <c r="N213" s="72">
        <v>7149886.459999999</v>
      </c>
      <c r="O213" s="72">
        <f t="shared" ref="O213:Z213" si="272">SUM(O190:O212)</f>
        <v>7352395.0900000017</v>
      </c>
      <c r="P213" s="72">
        <f t="shared" si="272"/>
        <v>7234501.1999999993</v>
      </c>
      <c r="Q213" s="72">
        <f t="shared" si="272"/>
        <v>9109611.7000000011</v>
      </c>
      <c r="R213" s="72">
        <f t="shared" si="272"/>
        <v>8963896.9700000007</v>
      </c>
      <c r="S213" s="72">
        <f t="shared" si="272"/>
        <v>6897459.0599999996</v>
      </c>
      <c r="T213" s="72">
        <f t="shared" si="272"/>
        <v>6786767.0199999986</v>
      </c>
      <c r="U213" s="72">
        <f t="shared" si="272"/>
        <v>6986528.3199999984</v>
      </c>
      <c r="V213" s="72">
        <f t="shared" si="272"/>
        <v>6870017.370000001</v>
      </c>
      <c r="W213" s="72">
        <f t="shared" si="272"/>
        <v>7880527.2899999991</v>
      </c>
      <c r="X213" s="72">
        <f t="shared" si="272"/>
        <v>7755327.9999999991</v>
      </c>
      <c r="Y213" s="72">
        <f t="shared" si="272"/>
        <v>6904459.6999999993</v>
      </c>
      <c r="Z213" s="72">
        <f t="shared" si="272"/>
        <v>6792698.5899999999</v>
      </c>
      <c r="AA213" s="260"/>
      <c r="AB213" s="261">
        <f>SUM(AB190:AB212)</f>
        <v>91025923.590000018</v>
      </c>
      <c r="AC213" s="261">
        <f>SUM(AC190:AC212)</f>
        <v>92512248.950000003</v>
      </c>
    </row>
    <row r="214" spans="1:29" x14ac:dyDescent="0.2">
      <c r="A214" s="264" t="s">
        <v>45</v>
      </c>
      <c r="B214" s="36"/>
      <c r="C214" s="35">
        <v>-121090.58</v>
      </c>
      <c r="D214" s="36"/>
      <c r="E214" s="73">
        <v>-135630.69</v>
      </c>
      <c r="F214" s="74"/>
      <c r="G214" s="73">
        <v>-126754.44</v>
      </c>
      <c r="H214" s="74"/>
      <c r="I214" s="35">
        <v>-132504.4</v>
      </c>
      <c r="J214" s="36"/>
      <c r="K214" s="35">
        <v>-125929.53</v>
      </c>
      <c r="L214" s="36"/>
      <c r="M214" s="35">
        <v>-116643.71</v>
      </c>
      <c r="N214" s="36"/>
      <c r="O214" s="35">
        <v>-117893.89</v>
      </c>
      <c r="P214" s="36"/>
      <c r="Q214" s="35">
        <v>-145714.73000000001</v>
      </c>
      <c r="R214" s="36"/>
      <c r="S214" s="35">
        <v>-110692.04</v>
      </c>
      <c r="T214" s="36"/>
      <c r="U214" s="35">
        <v>-116510.93</v>
      </c>
      <c r="V214" s="36"/>
      <c r="W214" s="35">
        <v>-125199.29</v>
      </c>
      <c r="X214" s="36"/>
      <c r="Y214" s="35">
        <v>-111761.11</v>
      </c>
      <c r="Z214" s="36"/>
      <c r="AA214" s="36"/>
      <c r="AB214" s="261"/>
      <c r="AC214" s="262">
        <f>+C214+E214+G214+I214+K214+M214+O214+Q214+S214+U214+W214+Y214</f>
        <v>-1486325.34</v>
      </c>
    </row>
    <row r="215" spans="1:29" x14ac:dyDescent="0.2">
      <c r="A215" s="263" t="s">
        <v>27</v>
      </c>
      <c r="C215" s="22">
        <v>7466821.8599999994</v>
      </c>
      <c r="D215" s="22"/>
      <c r="E215" s="22">
        <v>8319064.8600000022</v>
      </c>
      <c r="F215" s="70"/>
      <c r="G215" s="22">
        <v>7787009.459999999</v>
      </c>
      <c r="H215" s="70"/>
      <c r="I215" s="22">
        <v>8104652.6599999992</v>
      </c>
      <c r="J215" s="22"/>
      <c r="K215" s="22">
        <v>7795279.1400000006</v>
      </c>
      <c r="L215" s="22"/>
      <c r="M215" s="22">
        <v>7149886.46</v>
      </c>
      <c r="N215" s="22"/>
      <c r="O215" s="22">
        <f>+O213+O214</f>
        <v>7234501.200000002</v>
      </c>
      <c r="P215" s="22"/>
      <c r="Q215" s="22">
        <f>+Q213+Q214</f>
        <v>8963896.9700000007</v>
      </c>
      <c r="R215" s="22"/>
      <c r="S215" s="22">
        <f>+S213+S214</f>
        <v>6786767.0199999996</v>
      </c>
      <c r="T215" s="22"/>
      <c r="U215" s="22">
        <f>+U213+U214</f>
        <v>6870017.3899999987</v>
      </c>
      <c r="V215" s="22"/>
      <c r="W215" s="22">
        <f>+W213+W214</f>
        <v>7755327.9999999991</v>
      </c>
      <c r="X215" s="22"/>
      <c r="Y215" s="22">
        <f>+Y213+Y214</f>
        <v>6792698.5899999989</v>
      </c>
      <c r="Z215" s="22"/>
      <c r="AC215" s="265">
        <f>SUM(AC213:AC214)</f>
        <v>91025923.609999999</v>
      </c>
    </row>
    <row r="216" spans="1:29" x14ac:dyDescent="0.2">
      <c r="A216" s="266" t="s">
        <v>130</v>
      </c>
      <c r="C216" s="22">
        <v>7466821.8600000003</v>
      </c>
      <c r="D216" s="22"/>
      <c r="E216" s="40">
        <v>8319064.8600000003</v>
      </c>
      <c r="F216" s="40"/>
      <c r="G216" s="40">
        <v>7787009.46</v>
      </c>
      <c r="H216" s="40"/>
      <c r="I216" s="37">
        <v>8104652.6600000001</v>
      </c>
      <c r="K216" s="37">
        <v>7795279.1399999997</v>
      </c>
      <c r="M216" s="37">
        <v>7149886.46</v>
      </c>
      <c r="O216" s="48">
        <v>7234501.2000000002</v>
      </c>
      <c r="Q216" s="37">
        <v>8963896.9700000007</v>
      </c>
      <c r="S216" s="37">
        <v>6786767.0199999996</v>
      </c>
      <c r="U216" s="37">
        <v>6870017.3899999997</v>
      </c>
      <c r="W216" s="37">
        <v>7755328</v>
      </c>
      <c r="Y216" s="37">
        <v>6792698.5899999999</v>
      </c>
    </row>
    <row r="217" spans="1:29" x14ac:dyDescent="0.2">
      <c r="A217" s="266" t="s">
        <v>21</v>
      </c>
      <c r="C217" s="22">
        <v>0</v>
      </c>
      <c r="D217" s="22"/>
      <c r="E217" s="22">
        <v>0</v>
      </c>
      <c r="F217" s="40"/>
      <c r="G217" s="22">
        <v>0</v>
      </c>
      <c r="H217" s="40"/>
      <c r="I217" s="22">
        <v>0</v>
      </c>
      <c r="K217" s="37">
        <v>0</v>
      </c>
      <c r="M217" s="37">
        <v>0</v>
      </c>
      <c r="O217" s="37">
        <f>+O215-O216</f>
        <v>0</v>
      </c>
      <c r="Q217" s="37">
        <f>+Q215-Q216</f>
        <v>0</v>
      </c>
      <c r="S217" s="37">
        <f>+S215-S216</f>
        <v>0</v>
      </c>
      <c r="U217" s="37">
        <f>+U215-U216</f>
        <v>0</v>
      </c>
      <c r="W217" s="37">
        <f>+W215-W216</f>
        <v>0</v>
      </c>
      <c r="Y217" s="37">
        <f>+Y215-Y216</f>
        <v>0</v>
      </c>
    </row>
    <row r="218" spans="1:29" x14ac:dyDescent="0.2">
      <c r="A218" s="9" t="s">
        <v>92</v>
      </c>
      <c r="C218" s="22"/>
      <c r="E218" s="40"/>
      <c r="F218" s="40"/>
      <c r="G218" s="40"/>
      <c r="H218" s="40"/>
    </row>
    <row r="219" spans="1:29" ht="15" x14ac:dyDescent="0.2">
      <c r="E219" s="47"/>
      <c r="F219" s="47"/>
      <c r="G219" s="47"/>
    </row>
    <row r="220" spans="1:29" ht="15" x14ac:dyDescent="0.2">
      <c r="E220" s="47"/>
      <c r="F220" s="47"/>
      <c r="G220" s="47"/>
    </row>
    <row r="221" spans="1:29" ht="17.25" x14ac:dyDescent="0.35">
      <c r="A221" s="9" t="s">
        <v>0</v>
      </c>
      <c r="E221" s="47"/>
      <c r="F221" s="47"/>
      <c r="G221" s="47"/>
      <c r="Q221" s="267"/>
      <c r="R221" s="267"/>
      <c r="S221" s="267"/>
    </row>
    <row r="222" spans="1:29" ht="15" x14ac:dyDescent="0.2">
      <c r="A222" s="9" t="s">
        <v>83</v>
      </c>
      <c r="E222" s="47"/>
      <c r="F222" s="47"/>
      <c r="G222" s="47"/>
    </row>
    <row r="223" spans="1:29" ht="15" x14ac:dyDescent="0.2">
      <c r="A223" s="20" t="s">
        <v>105</v>
      </c>
      <c r="E223" s="47"/>
      <c r="F223" s="47"/>
      <c r="G223" s="47"/>
    </row>
    <row r="224" spans="1:29" ht="15" x14ac:dyDescent="0.2">
      <c r="E224" s="47"/>
      <c r="F224" s="47"/>
      <c r="G224" s="47"/>
    </row>
    <row r="225" spans="1:29" s="259" customFormat="1" x14ac:dyDescent="0.2">
      <c r="C225" s="38" t="s">
        <v>28</v>
      </c>
      <c r="D225" s="38" t="s">
        <v>29</v>
      </c>
      <c r="E225" s="38" t="s">
        <v>28</v>
      </c>
      <c r="F225" s="38" t="s">
        <v>29</v>
      </c>
      <c r="G225" s="38" t="s">
        <v>28</v>
      </c>
      <c r="H225" s="38" t="s">
        <v>29</v>
      </c>
      <c r="I225" s="38" t="s">
        <v>28</v>
      </c>
      <c r="J225" s="38" t="s">
        <v>29</v>
      </c>
      <c r="K225" s="38" t="s">
        <v>28</v>
      </c>
      <c r="L225" s="38" t="s">
        <v>29</v>
      </c>
      <c r="M225" s="38" t="s">
        <v>28</v>
      </c>
      <c r="N225" s="38" t="s">
        <v>29</v>
      </c>
      <c r="O225" s="38" t="s">
        <v>28</v>
      </c>
      <c r="P225" s="38" t="s">
        <v>29</v>
      </c>
      <c r="Q225" s="38" t="s">
        <v>28</v>
      </c>
      <c r="R225" s="38" t="s">
        <v>29</v>
      </c>
      <c r="S225" s="38" t="s">
        <v>28</v>
      </c>
      <c r="T225" s="38" t="s">
        <v>29</v>
      </c>
      <c r="U225" s="38" t="s">
        <v>28</v>
      </c>
      <c r="V225" s="38" t="s">
        <v>29</v>
      </c>
      <c r="W225" s="38" t="s">
        <v>28</v>
      </c>
      <c r="X225" s="38" t="s">
        <v>29</v>
      </c>
      <c r="Y225" s="38" t="s">
        <v>28</v>
      </c>
      <c r="Z225" s="38" t="s">
        <v>29</v>
      </c>
      <c r="AA225" s="38"/>
      <c r="AB225" s="38"/>
    </row>
    <row r="226" spans="1:29" x14ac:dyDescent="0.2">
      <c r="A226" s="9" t="s">
        <v>30</v>
      </c>
      <c r="C226" s="37"/>
      <c r="D226" s="38" t="s">
        <v>84</v>
      </c>
      <c r="F226" s="38" t="s">
        <v>84</v>
      </c>
      <c r="H226" s="38" t="s">
        <v>84</v>
      </c>
      <c r="J226" s="38" t="s">
        <v>84</v>
      </c>
      <c r="L226" s="38" t="s">
        <v>84</v>
      </c>
      <c r="N226" s="38" t="s">
        <v>84</v>
      </c>
      <c r="P226" s="38" t="s">
        <v>84</v>
      </c>
      <c r="R226" s="38" t="s">
        <v>84</v>
      </c>
      <c r="T226" s="38" t="s">
        <v>84</v>
      </c>
      <c r="V226" s="38" t="s">
        <v>84</v>
      </c>
      <c r="X226" s="38" t="s">
        <v>84</v>
      </c>
      <c r="Z226" s="38" t="s">
        <v>84</v>
      </c>
    </row>
    <row r="227" spans="1:29" s="24" customFormat="1" x14ac:dyDescent="0.2">
      <c r="C227" s="49" t="s">
        <v>32</v>
      </c>
      <c r="D227" s="49" t="s">
        <v>31</v>
      </c>
      <c r="E227" s="49" t="s">
        <v>33</v>
      </c>
      <c r="F227" s="49" t="s">
        <v>31</v>
      </c>
      <c r="G227" s="49" t="s">
        <v>34</v>
      </c>
      <c r="H227" s="49" t="s">
        <v>31</v>
      </c>
      <c r="I227" s="49" t="s">
        <v>35</v>
      </c>
      <c r="J227" s="26" t="s">
        <v>31</v>
      </c>
      <c r="K227" s="49" t="s">
        <v>36</v>
      </c>
      <c r="L227" s="26" t="s">
        <v>31</v>
      </c>
      <c r="M227" s="26" t="s">
        <v>37</v>
      </c>
      <c r="N227" s="26" t="s">
        <v>31</v>
      </c>
      <c r="O227" s="26" t="s">
        <v>38</v>
      </c>
      <c r="P227" s="26" t="s">
        <v>31</v>
      </c>
      <c r="Q227" s="26" t="s">
        <v>39</v>
      </c>
      <c r="R227" s="26" t="s">
        <v>31</v>
      </c>
      <c r="S227" s="26" t="s">
        <v>40</v>
      </c>
      <c r="T227" s="26" t="s">
        <v>31</v>
      </c>
      <c r="U227" s="26" t="s">
        <v>41</v>
      </c>
      <c r="V227" s="26" t="s">
        <v>31</v>
      </c>
      <c r="W227" s="26" t="s">
        <v>42</v>
      </c>
      <c r="X227" s="26" t="s">
        <v>31</v>
      </c>
      <c r="Y227" s="26" t="s">
        <v>43</v>
      </c>
      <c r="Z227" s="26" t="s">
        <v>31</v>
      </c>
      <c r="AA227" s="26"/>
      <c r="AB227" s="26"/>
    </row>
    <row r="228" spans="1:29" s="260" customFormat="1" x14ac:dyDescent="0.2">
      <c r="A228" s="9" t="s">
        <v>48</v>
      </c>
      <c r="B228" s="9"/>
      <c r="C228" s="22">
        <v>59492.02</v>
      </c>
      <c r="D228" s="37">
        <v>58752.39</v>
      </c>
      <c r="E228" s="70">
        <v>47636.35</v>
      </c>
      <c r="F228" s="37">
        <v>47049.45</v>
      </c>
      <c r="G228" s="70">
        <v>33874.42</v>
      </c>
      <c r="H228" s="37">
        <v>33451.730000000003</v>
      </c>
      <c r="I228" s="22">
        <v>29523.7</v>
      </c>
      <c r="J228" s="37">
        <v>29158.39</v>
      </c>
      <c r="K228" s="22">
        <v>24087.48</v>
      </c>
      <c r="L228" s="37">
        <v>23787.98</v>
      </c>
      <c r="M228" s="34">
        <v>22822.03</v>
      </c>
      <c r="N228" s="37">
        <v>22538.400000000001</v>
      </c>
      <c r="O228" s="34">
        <v>16749.37</v>
      </c>
      <c r="P228" s="37">
        <v>16542.169999999998</v>
      </c>
      <c r="Q228" s="22">
        <v>18544.3</v>
      </c>
      <c r="R228" s="37">
        <v>18315.89</v>
      </c>
      <c r="S228" s="22">
        <v>3225.97</v>
      </c>
      <c r="T228" s="37">
        <v>3186.57</v>
      </c>
      <c r="U228" s="22">
        <v>3126.5</v>
      </c>
      <c r="V228" s="37">
        <v>3087.97</v>
      </c>
      <c r="W228" s="22">
        <v>15218.99</v>
      </c>
      <c r="X228" s="37">
        <v>15032.01</v>
      </c>
      <c r="Y228" s="22">
        <v>29115.37</v>
      </c>
      <c r="Z228" s="37">
        <f>ROUND(Y228+(Y228/Y$251*Y$252),2)</f>
        <v>28754.31</v>
      </c>
      <c r="AB228" s="261">
        <f t="shared" ref="AB228:AB250" si="273">+D228+F228+H228+J228+L228+N228+P228+R228+T228+V228+X228+Z228</f>
        <v>299657.26</v>
      </c>
      <c r="AC228" s="37">
        <f t="shared" ref="AC228:AC250" si="274">+C228+E228+G228+I228+K228+M228+O228+Q228+S228+U228+W228+Y228</f>
        <v>303416.5</v>
      </c>
    </row>
    <row r="229" spans="1:29" s="260" customFormat="1" x14ac:dyDescent="0.2">
      <c r="A229" s="9" t="s">
        <v>22</v>
      </c>
      <c r="B229" s="9"/>
      <c r="C229" s="22">
        <v>65.72</v>
      </c>
      <c r="D229" s="37">
        <v>64.900000000000006</v>
      </c>
      <c r="E229" s="70">
        <v>0</v>
      </c>
      <c r="F229" s="37">
        <v>0</v>
      </c>
      <c r="G229" s="70">
        <v>0</v>
      </c>
      <c r="H229" s="37">
        <v>0</v>
      </c>
      <c r="I229" s="22">
        <v>1686.55</v>
      </c>
      <c r="J229" s="37">
        <v>1665.68</v>
      </c>
      <c r="K229" s="22">
        <v>0</v>
      </c>
      <c r="L229" s="37">
        <v>0</v>
      </c>
      <c r="M229" s="22">
        <v>0</v>
      </c>
      <c r="N229" s="37">
        <v>0</v>
      </c>
      <c r="O229" s="22">
        <v>582.58000000000004</v>
      </c>
      <c r="P229" s="37">
        <v>575.37</v>
      </c>
      <c r="Q229" s="22">
        <v>0</v>
      </c>
      <c r="R229" s="37">
        <v>0</v>
      </c>
      <c r="S229" s="22">
        <v>0</v>
      </c>
      <c r="T229" s="37">
        <v>0</v>
      </c>
      <c r="U229" s="22">
        <v>0</v>
      </c>
      <c r="V229" s="37">
        <v>0</v>
      </c>
      <c r="W229" s="22">
        <v>804.3</v>
      </c>
      <c r="X229" s="37">
        <v>794.42</v>
      </c>
      <c r="Y229" s="22">
        <v>0</v>
      </c>
      <c r="Z229" s="37">
        <f t="shared" ref="Z229:Z250" si="275">ROUND(Y229+(Y229/Y$251*Y$252),2)</f>
        <v>0</v>
      </c>
      <c r="AB229" s="261">
        <f t="shared" si="273"/>
        <v>3100.3700000000003</v>
      </c>
      <c r="AC229" s="37">
        <f t="shared" si="274"/>
        <v>3139.1499999999996</v>
      </c>
    </row>
    <row r="230" spans="1:29" s="260" customFormat="1" x14ac:dyDescent="0.2">
      <c r="A230" s="9" t="s">
        <v>49</v>
      </c>
      <c r="B230" s="9"/>
      <c r="C230" s="22">
        <v>438.9</v>
      </c>
      <c r="D230" s="37">
        <v>433.44</v>
      </c>
      <c r="E230" s="70">
        <v>314038.89</v>
      </c>
      <c r="F230" s="37">
        <v>310169.82</v>
      </c>
      <c r="G230" s="260">
        <v>0</v>
      </c>
      <c r="H230" s="37">
        <v>0</v>
      </c>
      <c r="I230" s="22">
        <v>181288.84</v>
      </c>
      <c r="J230" s="37">
        <v>179045.69</v>
      </c>
      <c r="K230" s="22">
        <v>164666.67000000001</v>
      </c>
      <c r="L230" s="37">
        <v>162619.22</v>
      </c>
      <c r="M230" s="22">
        <v>148849.88</v>
      </c>
      <c r="N230" s="37">
        <v>146999.99</v>
      </c>
      <c r="O230" s="22">
        <v>182803.7</v>
      </c>
      <c r="P230" s="37">
        <v>180542.35</v>
      </c>
      <c r="Q230" s="22">
        <v>218509.93</v>
      </c>
      <c r="R230" s="37">
        <v>215818.57</v>
      </c>
      <c r="S230" s="22">
        <v>268510.01</v>
      </c>
      <c r="T230" s="37">
        <v>265230.58</v>
      </c>
      <c r="U230" s="22">
        <v>270167.8</v>
      </c>
      <c r="V230" s="37">
        <v>266838.64</v>
      </c>
      <c r="W230" s="22">
        <v>225822.37</v>
      </c>
      <c r="X230" s="37">
        <v>223047.89</v>
      </c>
      <c r="Y230" s="22">
        <v>178450.01</v>
      </c>
      <c r="Z230" s="37">
        <f t="shared" si="275"/>
        <v>176237.02</v>
      </c>
      <c r="AB230" s="261">
        <f t="shared" si="273"/>
        <v>2126983.2100000004</v>
      </c>
      <c r="AC230" s="37">
        <f t="shared" si="274"/>
        <v>2153547</v>
      </c>
    </row>
    <row r="231" spans="1:29" s="260" customFormat="1" x14ac:dyDescent="0.2">
      <c r="A231" s="9" t="s">
        <v>23</v>
      </c>
      <c r="B231" s="9"/>
      <c r="C231" s="22">
        <v>796855.68</v>
      </c>
      <c r="D231" s="37">
        <v>786948.78</v>
      </c>
      <c r="E231" s="70">
        <v>630590.06999999995</v>
      </c>
      <c r="F231" s="37">
        <v>622820.97</v>
      </c>
      <c r="G231" s="70">
        <v>681103.32</v>
      </c>
      <c r="H231" s="37">
        <v>672604.46</v>
      </c>
      <c r="I231" s="22">
        <v>741853.87</v>
      </c>
      <c r="J231" s="37">
        <v>732674.66</v>
      </c>
      <c r="K231" s="22">
        <v>698964.47</v>
      </c>
      <c r="L231" s="37">
        <v>690273.6</v>
      </c>
      <c r="M231" s="22">
        <v>653990.75</v>
      </c>
      <c r="N231" s="37">
        <v>645863</v>
      </c>
      <c r="O231" s="22">
        <v>659553.97</v>
      </c>
      <c r="P231" s="37">
        <v>651395.03</v>
      </c>
      <c r="Q231" s="22">
        <v>599371.79</v>
      </c>
      <c r="R231" s="37">
        <v>591989.41</v>
      </c>
      <c r="S231" s="22">
        <v>479514.74</v>
      </c>
      <c r="T231" s="37">
        <v>473658.22</v>
      </c>
      <c r="U231" s="22">
        <v>496456.53</v>
      </c>
      <c r="V231" s="37">
        <v>490338.91</v>
      </c>
      <c r="W231" s="22">
        <v>524342.73</v>
      </c>
      <c r="X231" s="37">
        <v>517900.6</v>
      </c>
      <c r="Y231" s="22">
        <v>610386.26</v>
      </c>
      <c r="Z231" s="37">
        <f t="shared" si="275"/>
        <v>602816.77</v>
      </c>
      <c r="AB231" s="261">
        <f t="shared" si="273"/>
        <v>7479284.4100000001</v>
      </c>
      <c r="AC231" s="37">
        <f t="shared" si="274"/>
        <v>7572984.1799999997</v>
      </c>
    </row>
    <row r="232" spans="1:29" s="260" customFormat="1" x14ac:dyDescent="0.2">
      <c r="A232" s="9" t="s">
        <v>24</v>
      </c>
      <c r="B232" s="9"/>
      <c r="C232" s="22">
        <v>135334.46</v>
      </c>
      <c r="D232" s="37">
        <v>133651.92000000001</v>
      </c>
      <c r="E232" s="70">
        <v>155551.01999999999</v>
      </c>
      <c r="F232" s="37">
        <v>153634.57999999999</v>
      </c>
      <c r="G232" s="70">
        <v>139007.14000000001</v>
      </c>
      <c r="H232" s="37">
        <v>137272.6</v>
      </c>
      <c r="I232" s="22">
        <v>165435.53</v>
      </c>
      <c r="J232" s="37">
        <v>163388.54</v>
      </c>
      <c r="K232" s="22">
        <v>141225.67000000001</v>
      </c>
      <c r="L232" s="37">
        <v>139469.68</v>
      </c>
      <c r="M232" s="22">
        <v>127638.3</v>
      </c>
      <c r="N232" s="37">
        <v>126052.02</v>
      </c>
      <c r="O232" s="22">
        <v>144781.18</v>
      </c>
      <c r="P232" s="37">
        <v>142990.18</v>
      </c>
      <c r="Q232" s="22">
        <v>159645.12</v>
      </c>
      <c r="R232" s="37">
        <v>157678.79</v>
      </c>
      <c r="S232" s="22">
        <v>107628.35</v>
      </c>
      <c r="T232" s="37">
        <v>106313.84</v>
      </c>
      <c r="U232" s="22">
        <v>90997.66</v>
      </c>
      <c r="V232" s="37">
        <v>89876.34</v>
      </c>
      <c r="W232" s="22">
        <v>123588.02</v>
      </c>
      <c r="X232" s="37">
        <v>122069.6</v>
      </c>
      <c r="Y232" s="22">
        <v>110117.9</v>
      </c>
      <c r="Z232" s="37">
        <f t="shared" si="275"/>
        <v>108752.31</v>
      </c>
      <c r="AB232" s="261">
        <f t="shared" si="273"/>
        <v>1581150.4000000004</v>
      </c>
      <c r="AC232" s="37">
        <f t="shared" si="274"/>
        <v>1600950.3499999999</v>
      </c>
    </row>
    <row r="233" spans="1:29" s="260" customFormat="1" x14ac:dyDescent="0.2">
      <c r="A233" s="9" t="s">
        <v>25</v>
      </c>
      <c r="B233" s="9"/>
      <c r="C233" s="22">
        <v>121300.36</v>
      </c>
      <c r="D233" s="37">
        <v>119792.29</v>
      </c>
      <c r="E233" s="70">
        <v>152666.84</v>
      </c>
      <c r="F233" s="37">
        <v>150785.93</v>
      </c>
      <c r="G233" s="70">
        <v>123548.46</v>
      </c>
      <c r="H233" s="37">
        <v>122006.81</v>
      </c>
      <c r="I233" s="22">
        <v>123698.77</v>
      </c>
      <c r="J233" s="37">
        <v>122168.2</v>
      </c>
      <c r="K233" s="22">
        <v>121089.85</v>
      </c>
      <c r="L233" s="37">
        <v>119584.23</v>
      </c>
      <c r="M233" s="22">
        <v>120119.05</v>
      </c>
      <c r="N233" s="37">
        <v>118626.22</v>
      </c>
      <c r="O233" s="22">
        <v>117792.93</v>
      </c>
      <c r="P233" s="37">
        <v>116335.79</v>
      </c>
      <c r="Q233" s="22">
        <v>125076.06</v>
      </c>
      <c r="R233" s="37">
        <v>123535.52</v>
      </c>
      <c r="S233" s="22">
        <v>101388.24</v>
      </c>
      <c r="T233" s="37">
        <v>100149.94</v>
      </c>
      <c r="U233" s="22">
        <v>110767.71</v>
      </c>
      <c r="V233" s="37">
        <v>109402.77</v>
      </c>
      <c r="W233" s="22">
        <v>127109.49</v>
      </c>
      <c r="X233" s="37">
        <v>125547.81</v>
      </c>
      <c r="Y233" s="22">
        <v>125008.73</v>
      </c>
      <c r="Z233" s="37">
        <f t="shared" si="275"/>
        <v>123458.48</v>
      </c>
      <c r="AB233" s="261">
        <f t="shared" si="273"/>
        <v>1451393.99</v>
      </c>
      <c r="AC233" s="37">
        <f t="shared" si="274"/>
        <v>1469566.49</v>
      </c>
    </row>
    <row r="234" spans="1:29" s="260" customFormat="1" x14ac:dyDescent="0.2">
      <c r="A234" s="9" t="s">
        <v>26</v>
      </c>
      <c r="B234" s="9"/>
      <c r="C234" s="22">
        <v>2078732.57</v>
      </c>
      <c r="D234" s="37">
        <v>2052888.74</v>
      </c>
      <c r="E234" s="70">
        <v>2495639.1</v>
      </c>
      <c r="F234" s="37">
        <v>2464891.92</v>
      </c>
      <c r="G234" s="70">
        <v>2276640.35</v>
      </c>
      <c r="H234" s="37">
        <v>2248232.25</v>
      </c>
      <c r="I234" s="22">
        <v>2343582.08</v>
      </c>
      <c r="J234" s="37">
        <v>2314584.14</v>
      </c>
      <c r="K234" s="22">
        <v>2265050.73</v>
      </c>
      <c r="L234" s="37">
        <v>2236887.2599999998</v>
      </c>
      <c r="M234" s="22">
        <v>2222389.09</v>
      </c>
      <c r="N234" s="37">
        <v>2194769.41</v>
      </c>
      <c r="O234" s="22">
        <v>2085534.75</v>
      </c>
      <c r="P234" s="37">
        <v>2059735.88</v>
      </c>
      <c r="Q234" s="22">
        <v>3088343.55</v>
      </c>
      <c r="R234" s="37">
        <v>3050304.86</v>
      </c>
      <c r="S234" s="22">
        <v>1810393.98</v>
      </c>
      <c r="T234" s="37">
        <v>1788282.86</v>
      </c>
      <c r="U234" s="22">
        <v>1775881.62</v>
      </c>
      <c r="V234" s="37">
        <v>1753998.21</v>
      </c>
      <c r="W234" s="22">
        <v>2192802.0499999998</v>
      </c>
      <c r="X234" s="37">
        <v>2165861.04</v>
      </c>
      <c r="Y234" s="22">
        <v>2286956.96</v>
      </c>
      <c r="Z234" s="37">
        <f t="shared" si="275"/>
        <v>2258596.06</v>
      </c>
      <c r="AB234" s="261">
        <f t="shared" si="273"/>
        <v>26589032.629999999</v>
      </c>
      <c r="AC234" s="37">
        <f t="shared" si="274"/>
        <v>26921946.830000002</v>
      </c>
    </row>
    <row r="235" spans="1:29" s="260" customFormat="1" x14ac:dyDescent="0.2">
      <c r="A235" s="9" t="s">
        <v>50</v>
      </c>
      <c r="B235" s="9"/>
      <c r="C235" s="22">
        <v>44821.66</v>
      </c>
      <c r="D235" s="37">
        <v>44264.41</v>
      </c>
      <c r="E235" s="70">
        <v>44757.919999999998</v>
      </c>
      <c r="F235" s="37">
        <v>44206.49</v>
      </c>
      <c r="G235" s="70">
        <v>53651.06</v>
      </c>
      <c r="H235" s="37">
        <v>52981.599999999999</v>
      </c>
      <c r="I235" s="22">
        <v>54394.06</v>
      </c>
      <c r="J235" s="37">
        <v>53721.02</v>
      </c>
      <c r="K235" s="22">
        <v>44420.54</v>
      </c>
      <c r="L235" s="37">
        <v>43868.22</v>
      </c>
      <c r="M235" s="22">
        <v>39421.339999999997</v>
      </c>
      <c r="N235" s="37">
        <v>38931.410000000003</v>
      </c>
      <c r="O235" s="22">
        <v>39299.69</v>
      </c>
      <c r="P235" s="37">
        <v>38813.54</v>
      </c>
      <c r="Q235" s="22">
        <v>31236.18</v>
      </c>
      <c r="R235" s="37">
        <v>30851.45</v>
      </c>
      <c r="S235" s="22">
        <v>32709</v>
      </c>
      <c r="T235" s="37">
        <v>32309.51</v>
      </c>
      <c r="U235" s="22">
        <v>30315.08</v>
      </c>
      <c r="V235" s="37">
        <v>29941.52</v>
      </c>
      <c r="W235" s="22">
        <v>39242.5</v>
      </c>
      <c r="X235" s="37">
        <v>38760.36</v>
      </c>
      <c r="Y235" s="22">
        <v>32967.550000000003</v>
      </c>
      <c r="Z235" s="37">
        <f t="shared" si="275"/>
        <v>32558.71</v>
      </c>
      <c r="AB235" s="261">
        <f t="shared" si="273"/>
        <v>481208.24000000005</v>
      </c>
      <c r="AC235" s="37">
        <f t="shared" si="274"/>
        <v>487236.58</v>
      </c>
    </row>
    <row r="236" spans="1:29" s="260" customFormat="1" x14ac:dyDescent="0.2">
      <c r="A236" s="9" t="s">
        <v>55</v>
      </c>
      <c r="B236" s="9"/>
      <c r="C236" s="22">
        <v>265516.03999999998</v>
      </c>
      <c r="D236" s="37">
        <v>262215.01</v>
      </c>
      <c r="E236" s="70">
        <v>306961.51</v>
      </c>
      <c r="F236" s="37">
        <v>303179.63</v>
      </c>
      <c r="G236" s="70">
        <v>240471.67</v>
      </c>
      <c r="H236" s="37">
        <v>237471.04</v>
      </c>
      <c r="I236" s="22">
        <v>286813.67</v>
      </c>
      <c r="J236" s="37">
        <v>283264.83</v>
      </c>
      <c r="K236" s="22">
        <v>274092.38</v>
      </c>
      <c r="L236" s="37">
        <v>270684.34000000003</v>
      </c>
      <c r="M236" s="22">
        <v>246934.37</v>
      </c>
      <c r="N236" s="37">
        <v>243865.49</v>
      </c>
      <c r="O236" s="22">
        <v>272634.67</v>
      </c>
      <c r="P236" s="37">
        <v>269262.07</v>
      </c>
      <c r="Q236" s="22">
        <v>291995.48</v>
      </c>
      <c r="R236" s="37">
        <v>288399.01</v>
      </c>
      <c r="S236" s="22">
        <v>258278.85</v>
      </c>
      <c r="T236" s="37">
        <v>255124.38</v>
      </c>
      <c r="U236" s="22">
        <v>271657.25</v>
      </c>
      <c r="V236" s="37">
        <v>268309.74</v>
      </c>
      <c r="W236" s="22">
        <v>234091.58</v>
      </c>
      <c r="X236" s="37">
        <v>231215.5</v>
      </c>
      <c r="Y236" s="22">
        <v>359063.42</v>
      </c>
      <c r="Z236" s="37">
        <f t="shared" si="275"/>
        <v>354610.62</v>
      </c>
      <c r="AB236" s="261">
        <f t="shared" si="273"/>
        <v>3267601.66</v>
      </c>
      <c r="AC236" s="37">
        <f t="shared" si="274"/>
        <v>3308510.89</v>
      </c>
    </row>
    <row r="237" spans="1:29" s="260" customFormat="1" x14ac:dyDescent="0.2">
      <c r="A237" s="9" t="s">
        <v>51</v>
      </c>
      <c r="B237" s="9"/>
      <c r="C237" s="22">
        <v>58389.440000000002</v>
      </c>
      <c r="D237" s="37">
        <v>57663.51</v>
      </c>
      <c r="E237" s="70">
        <v>73025.94</v>
      </c>
      <c r="F237" s="37">
        <v>72126.23</v>
      </c>
      <c r="G237" s="70">
        <v>95696.26</v>
      </c>
      <c r="H237" s="37">
        <v>94502.15</v>
      </c>
      <c r="I237" s="22">
        <v>32596.66</v>
      </c>
      <c r="J237" s="37">
        <v>32193.33</v>
      </c>
      <c r="K237" s="22">
        <v>68771.240000000005</v>
      </c>
      <c r="L237" s="37">
        <v>67916.14</v>
      </c>
      <c r="M237" s="22">
        <v>98413.71</v>
      </c>
      <c r="N237" s="37">
        <v>97190.63</v>
      </c>
      <c r="O237" s="22">
        <v>86915.61</v>
      </c>
      <c r="P237" s="37">
        <v>85840.43</v>
      </c>
      <c r="Q237" s="22">
        <v>74997.36</v>
      </c>
      <c r="R237" s="37">
        <v>74073.63</v>
      </c>
      <c r="S237" s="22">
        <v>85723.11</v>
      </c>
      <c r="T237" s="37">
        <v>84676.14</v>
      </c>
      <c r="U237" s="22">
        <v>80665.789999999994</v>
      </c>
      <c r="V237" s="37">
        <v>79671.78</v>
      </c>
      <c r="W237" s="22">
        <v>85398.84</v>
      </c>
      <c r="X237" s="37">
        <v>84349.62</v>
      </c>
      <c r="Y237" s="22">
        <v>112058.2</v>
      </c>
      <c r="Z237" s="37">
        <f t="shared" si="275"/>
        <v>110668.55</v>
      </c>
      <c r="AB237" s="261">
        <f t="shared" si="273"/>
        <v>940872.14000000013</v>
      </c>
      <c r="AC237" s="37">
        <f t="shared" si="274"/>
        <v>952652.16</v>
      </c>
    </row>
    <row r="238" spans="1:29" s="260" customFormat="1" x14ac:dyDescent="0.2">
      <c r="A238" s="9" t="s">
        <v>52</v>
      </c>
      <c r="B238" s="9"/>
      <c r="C238" s="22">
        <v>109255.5</v>
      </c>
      <c r="D238" s="37">
        <v>107897.18</v>
      </c>
      <c r="E238" s="70">
        <v>136869.35999999999</v>
      </c>
      <c r="F238" s="37">
        <v>135183.07999999999</v>
      </c>
      <c r="G238" s="70">
        <v>133330.04</v>
      </c>
      <c r="H238" s="37">
        <v>131666.34</v>
      </c>
      <c r="I238" s="22">
        <v>127534.69</v>
      </c>
      <c r="J238" s="37">
        <v>125956.66</v>
      </c>
      <c r="K238" s="22">
        <v>124034.32</v>
      </c>
      <c r="L238" s="37">
        <v>122492.09</v>
      </c>
      <c r="M238" s="22">
        <v>105080.67</v>
      </c>
      <c r="N238" s="37">
        <v>103774.74</v>
      </c>
      <c r="O238" s="22">
        <v>107857.63</v>
      </c>
      <c r="P238" s="37">
        <v>106523.39</v>
      </c>
      <c r="Q238" s="22">
        <v>160105.04999999999</v>
      </c>
      <c r="R238" s="37">
        <v>158133.06</v>
      </c>
      <c r="S238" s="22">
        <v>92688.28</v>
      </c>
      <c r="T238" s="37">
        <v>91556.24</v>
      </c>
      <c r="U238" s="22">
        <v>96675.25</v>
      </c>
      <c r="V238" s="37">
        <v>95483.96</v>
      </c>
      <c r="W238" s="22">
        <v>148740.49</v>
      </c>
      <c r="X238" s="37">
        <v>146913.04999999999</v>
      </c>
      <c r="Y238" s="22">
        <v>117997.49</v>
      </c>
      <c r="Z238" s="37">
        <f t="shared" si="275"/>
        <v>116534.19</v>
      </c>
      <c r="AB238" s="261">
        <f t="shared" si="273"/>
        <v>1442113.98</v>
      </c>
      <c r="AC238" s="37">
        <f t="shared" si="274"/>
        <v>1460168.77</v>
      </c>
    </row>
    <row r="239" spans="1:29" s="260" customFormat="1" x14ac:dyDescent="0.2">
      <c r="A239" s="9" t="s">
        <v>56</v>
      </c>
      <c r="B239" s="9"/>
      <c r="C239" s="22">
        <v>478445.92</v>
      </c>
      <c r="D239" s="37">
        <v>472497.64</v>
      </c>
      <c r="E239" s="70">
        <v>680125.28</v>
      </c>
      <c r="F239" s="37">
        <v>671745.89</v>
      </c>
      <c r="G239" s="70">
        <v>506987.29</v>
      </c>
      <c r="H239" s="37">
        <v>500661.06</v>
      </c>
      <c r="I239" s="22">
        <v>553827.01</v>
      </c>
      <c r="J239" s="37">
        <v>546974.31999999995</v>
      </c>
      <c r="K239" s="22">
        <v>617351.82999999996</v>
      </c>
      <c r="L239" s="37">
        <v>609675.72</v>
      </c>
      <c r="M239" s="22">
        <v>510317.68</v>
      </c>
      <c r="N239" s="37">
        <v>503975.49</v>
      </c>
      <c r="O239" s="22">
        <v>556037.71</v>
      </c>
      <c r="P239" s="37">
        <v>549159.31000000006</v>
      </c>
      <c r="Q239" s="22">
        <v>535517.62</v>
      </c>
      <c r="R239" s="37">
        <v>528921.73</v>
      </c>
      <c r="S239" s="22">
        <v>528991.27</v>
      </c>
      <c r="T239" s="37">
        <v>522530.47</v>
      </c>
      <c r="U239" s="22">
        <v>541298.54</v>
      </c>
      <c r="V239" s="37">
        <v>534628.36</v>
      </c>
      <c r="W239" s="22">
        <v>635752.81000000006</v>
      </c>
      <c r="X239" s="37">
        <v>627941.88</v>
      </c>
      <c r="Y239" s="22">
        <v>586673.91</v>
      </c>
      <c r="Z239" s="37">
        <f t="shared" si="275"/>
        <v>579398.48</v>
      </c>
      <c r="AB239" s="261">
        <f t="shared" si="273"/>
        <v>6648110.3499999996</v>
      </c>
      <c r="AC239" s="37">
        <f t="shared" si="274"/>
        <v>6731326.8699999992</v>
      </c>
    </row>
    <row r="240" spans="1:29" s="260" customFormat="1" x14ac:dyDescent="0.2">
      <c r="A240" s="9" t="s">
        <v>53</v>
      </c>
      <c r="B240" s="9"/>
      <c r="C240" s="22">
        <v>25816.959999999999</v>
      </c>
      <c r="D240" s="37">
        <v>25495.99</v>
      </c>
      <c r="E240" s="70">
        <v>14624.53</v>
      </c>
      <c r="F240" s="37">
        <v>14444.35</v>
      </c>
      <c r="G240" s="70">
        <v>16877.259999999998</v>
      </c>
      <c r="H240" s="37">
        <v>16666.66</v>
      </c>
      <c r="I240" s="22">
        <v>17443.189999999999</v>
      </c>
      <c r="J240" s="37">
        <v>17227.36</v>
      </c>
      <c r="K240" s="22">
        <v>23882.66</v>
      </c>
      <c r="L240" s="37">
        <v>23585.7</v>
      </c>
      <c r="M240" s="22">
        <v>17586.66</v>
      </c>
      <c r="N240" s="37">
        <v>17368.09</v>
      </c>
      <c r="O240" s="22">
        <v>28511.74</v>
      </c>
      <c r="P240" s="37">
        <v>28159.040000000001</v>
      </c>
      <c r="Q240" s="22">
        <v>14661.06</v>
      </c>
      <c r="R240" s="37">
        <v>14480.48</v>
      </c>
      <c r="S240" s="22">
        <v>13090.95</v>
      </c>
      <c r="T240" s="37">
        <v>12931.06</v>
      </c>
      <c r="U240" s="22">
        <v>16035.52</v>
      </c>
      <c r="V240" s="37">
        <v>15837.92</v>
      </c>
      <c r="W240" s="22">
        <v>18303.400000000001</v>
      </c>
      <c r="X240" s="37">
        <v>18078.52</v>
      </c>
      <c r="Y240" s="22">
        <v>28099.02</v>
      </c>
      <c r="Z240" s="37">
        <f t="shared" si="275"/>
        <v>27750.560000000001</v>
      </c>
      <c r="AB240" s="261">
        <f t="shared" si="273"/>
        <v>232025.73</v>
      </c>
      <c r="AC240" s="37">
        <f t="shared" si="274"/>
        <v>234932.94999999998</v>
      </c>
    </row>
    <row r="241" spans="1:29" s="260" customFormat="1" x14ac:dyDescent="0.2">
      <c r="A241" s="9" t="s">
        <v>57</v>
      </c>
      <c r="B241" s="9"/>
      <c r="C241" s="22">
        <v>62250.73</v>
      </c>
      <c r="D241" s="37">
        <v>61476.800000000003</v>
      </c>
      <c r="E241" s="70">
        <v>86151.98</v>
      </c>
      <c r="F241" s="37">
        <v>85090.559999999998</v>
      </c>
      <c r="G241" s="70">
        <v>76215.55</v>
      </c>
      <c r="H241" s="37">
        <v>75264.53</v>
      </c>
      <c r="I241" s="22">
        <v>79553.919999999998</v>
      </c>
      <c r="J241" s="37">
        <v>78569.570000000007</v>
      </c>
      <c r="K241" s="22">
        <v>76155.03</v>
      </c>
      <c r="L241" s="37">
        <v>75208.12</v>
      </c>
      <c r="M241" s="22">
        <v>64668.88</v>
      </c>
      <c r="N241" s="37">
        <v>63865.18</v>
      </c>
      <c r="O241" s="22">
        <v>73470.81</v>
      </c>
      <c r="P241" s="37">
        <v>72561.95</v>
      </c>
      <c r="Q241" s="22">
        <v>72509.7</v>
      </c>
      <c r="R241" s="37">
        <v>71616.61</v>
      </c>
      <c r="S241" s="22">
        <v>47884.28</v>
      </c>
      <c r="T241" s="37">
        <v>47299.45</v>
      </c>
      <c r="U241" s="22">
        <v>53954.48</v>
      </c>
      <c r="V241" s="37">
        <v>53289.62</v>
      </c>
      <c r="W241" s="22">
        <v>57524.47</v>
      </c>
      <c r="X241" s="37">
        <v>56817.72</v>
      </c>
      <c r="Y241" s="22">
        <v>54448.51</v>
      </c>
      <c r="Z241" s="37">
        <f t="shared" si="275"/>
        <v>53773.29</v>
      </c>
      <c r="AB241" s="261">
        <f t="shared" si="273"/>
        <v>794833.39999999991</v>
      </c>
      <c r="AC241" s="37">
        <f t="shared" si="274"/>
        <v>804788.34</v>
      </c>
    </row>
    <row r="242" spans="1:29" s="260" customFormat="1" x14ac:dyDescent="0.2">
      <c r="A242" s="9" t="s">
        <v>58</v>
      </c>
      <c r="B242" s="9"/>
      <c r="C242" s="70">
        <v>19513.03</v>
      </c>
      <c r="D242" s="37">
        <v>19270.43</v>
      </c>
      <c r="E242" s="70">
        <v>27667.69</v>
      </c>
      <c r="F242" s="37">
        <v>27326.81</v>
      </c>
      <c r="G242" s="70">
        <v>46334.66</v>
      </c>
      <c r="H242" s="37">
        <v>45756.49</v>
      </c>
      <c r="I242" s="22">
        <v>15470.56</v>
      </c>
      <c r="J242" s="37">
        <v>15279.14</v>
      </c>
      <c r="K242" s="22">
        <v>62521.64</v>
      </c>
      <c r="L242" s="37">
        <v>61744.25</v>
      </c>
      <c r="M242" s="22">
        <v>18136.759999999998</v>
      </c>
      <c r="N242" s="37">
        <v>17911.36</v>
      </c>
      <c r="O242" s="22">
        <v>20251.64</v>
      </c>
      <c r="P242" s="37">
        <v>20001.12</v>
      </c>
      <c r="Q242" s="22">
        <v>102364.08</v>
      </c>
      <c r="R242" s="37">
        <v>101103.28</v>
      </c>
      <c r="S242" s="22">
        <v>22240.17</v>
      </c>
      <c r="T242" s="37">
        <v>21968.54</v>
      </c>
      <c r="U242" s="22">
        <v>56750.52</v>
      </c>
      <c r="V242" s="37">
        <v>56051.21</v>
      </c>
      <c r="W242" s="22">
        <v>55582.58</v>
      </c>
      <c r="X242" s="37">
        <v>54899.69</v>
      </c>
      <c r="Y242" s="22">
        <v>51306.21</v>
      </c>
      <c r="Z242" s="37">
        <f t="shared" si="275"/>
        <v>50669.95</v>
      </c>
      <c r="AB242" s="261">
        <f t="shared" si="273"/>
        <v>491982.27</v>
      </c>
      <c r="AC242" s="37">
        <f t="shared" si="274"/>
        <v>498139.5400000001</v>
      </c>
    </row>
    <row r="243" spans="1:29" s="260" customFormat="1" x14ac:dyDescent="0.2">
      <c r="A243" s="9" t="s">
        <v>59</v>
      </c>
      <c r="B243" s="9"/>
      <c r="C243" s="22">
        <v>342755.31</v>
      </c>
      <c r="D243" s="37">
        <v>338494.01</v>
      </c>
      <c r="E243" s="70">
        <v>386724.37</v>
      </c>
      <c r="F243" s="37">
        <v>381959.79</v>
      </c>
      <c r="G243" s="70">
        <v>343998.63</v>
      </c>
      <c r="H243" s="37">
        <v>339706.19</v>
      </c>
      <c r="I243" s="22">
        <v>434821.57</v>
      </c>
      <c r="J243" s="37">
        <v>429441.37</v>
      </c>
      <c r="K243" s="22">
        <v>322717.5</v>
      </c>
      <c r="L243" s="37">
        <v>318704.84999999998</v>
      </c>
      <c r="M243" s="22">
        <v>310983.75</v>
      </c>
      <c r="N243" s="37">
        <v>307118.87</v>
      </c>
      <c r="O243" s="22">
        <v>405571.06</v>
      </c>
      <c r="P243" s="37">
        <v>400553.99</v>
      </c>
      <c r="Q243" s="22">
        <v>385044.39</v>
      </c>
      <c r="R243" s="37">
        <v>380301.85</v>
      </c>
      <c r="S243" s="22">
        <v>376392.66</v>
      </c>
      <c r="T243" s="37">
        <v>371795.61</v>
      </c>
      <c r="U243" s="22">
        <v>350898.76</v>
      </c>
      <c r="V243" s="37">
        <v>346574.79</v>
      </c>
      <c r="W243" s="22">
        <v>504530.95</v>
      </c>
      <c r="X243" s="37">
        <v>498332.23</v>
      </c>
      <c r="Y243" s="22">
        <v>425728.4</v>
      </c>
      <c r="Z243" s="37">
        <f t="shared" si="275"/>
        <v>420448.88</v>
      </c>
      <c r="AB243" s="261">
        <f t="shared" si="273"/>
        <v>4533432.4300000006</v>
      </c>
      <c r="AC243" s="37">
        <f t="shared" si="274"/>
        <v>4590167.3500000006</v>
      </c>
    </row>
    <row r="244" spans="1:29" s="260" customFormat="1" x14ac:dyDescent="0.2">
      <c r="A244" s="9" t="s">
        <v>60</v>
      </c>
      <c r="B244" s="9"/>
      <c r="C244" s="22">
        <v>33546.339999999997</v>
      </c>
      <c r="D244" s="37">
        <v>33129.279999999999</v>
      </c>
      <c r="E244" s="70">
        <v>52900.65</v>
      </c>
      <c r="F244" s="37">
        <v>52248.89</v>
      </c>
      <c r="G244" s="70">
        <v>57772.68</v>
      </c>
      <c r="H244" s="37">
        <v>57051.79</v>
      </c>
      <c r="I244" s="22">
        <v>49466.48</v>
      </c>
      <c r="J244" s="37">
        <v>48854.41</v>
      </c>
      <c r="K244" s="22">
        <v>26408.240000000002</v>
      </c>
      <c r="L244" s="37">
        <v>26079.88</v>
      </c>
      <c r="M244" s="22">
        <v>34931.86</v>
      </c>
      <c r="N244" s="37">
        <v>34497.730000000003</v>
      </c>
      <c r="O244" s="22">
        <v>35421.980000000003</v>
      </c>
      <c r="P244" s="37">
        <v>34983.800000000003</v>
      </c>
      <c r="Q244" s="22">
        <v>54469.52</v>
      </c>
      <c r="R244" s="37">
        <v>53798.63</v>
      </c>
      <c r="S244" s="22">
        <v>32585.35</v>
      </c>
      <c r="T244" s="37">
        <v>32187.37</v>
      </c>
      <c r="U244" s="22">
        <v>28157.73</v>
      </c>
      <c r="V244" s="37">
        <v>27810.75</v>
      </c>
      <c r="W244" s="22">
        <v>34701.83</v>
      </c>
      <c r="X244" s="37">
        <v>34275.480000000003</v>
      </c>
      <c r="Y244" s="22">
        <v>23439.279999999999</v>
      </c>
      <c r="Z244" s="37">
        <f t="shared" si="275"/>
        <v>23148.61</v>
      </c>
      <c r="AB244" s="261">
        <f t="shared" si="273"/>
        <v>458066.62</v>
      </c>
      <c r="AC244" s="37">
        <f t="shared" si="274"/>
        <v>463801.93999999994</v>
      </c>
    </row>
    <row r="245" spans="1:29" s="260" customFormat="1" x14ac:dyDescent="0.2">
      <c r="A245" s="9" t="s">
        <v>61</v>
      </c>
      <c r="B245" s="9"/>
      <c r="C245" s="22">
        <v>851893.3</v>
      </c>
      <c r="D245" s="37">
        <v>841302.14</v>
      </c>
      <c r="E245" s="70">
        <v>926031.61</v>
      </c>
      <c r="F245" s="37">
        <v>914622.57</v>
      </c>
      <c r="G245" s="70">
        <v>1026674.64</v>
      </c>
      <c r="H245" s="37">
        <v>1013863.71</v>
      </c>
      <c r="I245" s="22">
        <v>1061733.75</v>
      </c>
      <c r="J245" s="37">
        <v>1048596.56</v>
      </c>
      <c r="K245" s="22">
        <v>875259.76</v>
      </c>
      <c r="L245" s="37">
        <v>864376.84</v>
      </c>
      <c r="M245" s="22">
        <v>918171.99</v>
      </c>
      <c r="N245" s="37">
        <v>906761.02</v>
      </c>
      <c r="O245" s="22">
        <v>638393.4</v>
      </c>
      <c r="P245" s="37">
        <v>630496.23</v>
      </c>
      <c r="Q245" s="22">
        <v>766602.16</v>
      </c>
      <c r="R245" s="37">
        <v>757160.03</v>
      </c>
      <c r="S245" s="22">
        <v>576121.22</v>
      </c>
      <c r="T245" s="37">
        <v>569084.80000000005</v>
      </c>
      <c r="U245" s="22">
        <v>683673.76</v>
      </c>
      <c r="V245" s="37">
        <v>675249.15</v>
      </c>
      <c r="W245" s="22">
        <v>752208.97</v>
      </c>
      <c r="X245" s="37">
        <v>742967.25</v>
      </c>
      <c r="Y245" s="22">
        <v>745229.48</v>
      </c>
      <c r="Z245" s="37">
        <f t="shared" si="275"/>
        <v>735987.78</v>
      </c>
      <c r="AB245" s="261">
        <f t="shared" si="273"/>
        <v>9700468.0800000001</v>
      </c>
      <c r="AC245" s="37">
        <f t="shared" si="274"/>
        <v>9821994.040000001</v>
      </c>
    </row>
    <row r="246" spans="1:29" s="260" customFormat="1" x14ac:dyDescent="0.2">
      <c r="A246" s="9" t="s">
        <v>65</v>
      </c>
      <c r="B246" s="9"/>
      <c r="C246" s="22">
        <v>601370.93000000005</v>
      </c>
      <c r="D246" s="37">
        <v>593894.39</v>
      </c>
      <c r="E246" s="70">
        <v>897581.5</v>
      </c>
      <c r="F246" s="37">
        <v>886522.97</v>
      </c>
      <c r="G246" s="260">
        <v>689982.15</v>
      </c>
      <c r="H246" s="37">
        <v>681372.5</v>
      </c>
      <c r="I246" s="22">
        <v>777417.74</v>
      </c>
      <c r="J246" s="37">
        <v>767798.49</v>
      </c>
      <c r="K246" s="22">
        <v>658649.18999999994</v>
      </c>
      <c r="L246" s="37">
        <v>650459.59</v>
      </c>
      <c r="M246" s="22">
        <v>667147.44999999995</v>
      </c>
      <c r="N246" s="37">
        <v>658856.18999999994</v>
      </c>
      <c r="O246" s="22">
        <v>620726.14</v>
      </c>
      <c r="P246" s="37">
        <v>613047.52</v>
      </c>
      <c r="Q246" s="22">
        <v>818301.93</v>
      </c>
      <c r="R246" s="37">
        <v>808223.02</v>
      </c>
      <c r="S246" s="22">
        <v>615538.54</v>
      </c>
      <c r="T246" s="37">
        <v>608020.69999999995</v>
      </c>
      <c r="U246" s="22">
        <v>624841.31000000006</v>
      </c>
      <c r="V246" s="37">
        <v>617141.67000000004</v>
      </c>
      <c r="W246" s="22">
        <v>796091.9</v>
      </c>
      <c r="X246" s="37">
        <v>786311.03</v>
      </c>
      <c r="Y246" s="22">
        <v>628008.54</v>
      </c>
      <c r="Z246" s="37">
        <f t="shared" si="275"/>
        <v>620220.51</v>
      </c>
      <c r="AB246" s="261">
        <f t="shared" si="273"/>
        <v>8291868.5799999982</v>
      </c>
      <c r="AC246" s="37">
        <f t="shared" si="274"/>
        <v>8395657.3200000003</v>
      </c>
    </row>
    <row r="247" spans="1:29" s="260" customFormat="1" x14ac:dyDescent="0.2">
      <c r="A247" s="9" t="s">
        <v>62</v>
      </c>
      <c r="B247" s="9"/>
      <c r="C247" s="22">
        <v>0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7">
        <v>0</v>
      </c>
      <c r="T247" s="37">
        <v>0</v>
      </c>
      <c r="U247" s="22"/>
      <c r="V247" s="37">
        <v>0</v>
      </c>
      <c r="W247" s="22">
        <v>0</v>
      </c>
      <c r="X247" s="37">
        <v>0</v>
      </c>
      <c r="Y247" s="22">
        <v>0</v>
      </c>
      <c r="Z247" s="37">
        <f t="shared" si="275"/>
        <v>0</v>
      </c>
      <c r="AB247" s="261">
        <f t="shared" si="273"/>
        <v>0</v>
      </c>
      <c r="AC247" s="37">
        <f t="shared" si="274"/>
        <v>0</v>
      </c>
    </row>
    <row r="248" spans="1:29" s="260" customFormat="1" x14ac:dyDescent="0.2">
      <c r="A248" s="9" t="s">
        <v>93</v>
      </c>
      <c r="B248" s="9"/>
      <c r="C248" s="22">
        <v>18306.809999999998</v>
      </c>
      <c r="D248" s="37">
        <v>18079.219999999998</v>
      </c>
      <c r="E248" s="70">
        <v>20267.45</v>
      </c>
      <c r="F248" s="37">
        <v>20017.759999999998</v>
      </c>
      <c r="G248" s="70">
        <v>189061.47</v>
      </c>
      <c r="H248" s="37">
        <v>186702.34</v>
      </c>
      <c r="I248" s="22">
        <v>18684.239999999998</v>
      </c>
      <c r="J248" s="37">
        <v>18453.059999999998</v>
      </c>
      <c r="K248" s="22">
        <v>41363.85</v>
      </c>
      <c r="L248" s="37">
        <v>40849.54</v>
      </c>
      <c r="M248" s="22">
        <v>9334.4399999999987</v>
      </c>
      <c r="N248" s="37">
        <v>9218.44</v>
      </c>
      <c r="O248" s="22">
        <v>14489.48</v>
      </c>
      <c r="P248" s="37">
        <v>14310.24</v>
      </c>
      <c r="Q248" s="22">
        <v>14697.49</v>
      </c>
      <c r="R248" s="37">
        <v>14516.47</v>
      </c>
      <c r="S248" s="22">
        <v>20379.010000000002</v>
      </c>
      <c r="T248" s="37">
        <v>20130.13</v>
      </c>
      <c r="U248" s="22">
        <v>9288.44</v>
      </c>
      <c r="V248" s="37">
        <v>9173.99</v>
      </c>
      <c r="W248" s="22">
        <v>12137.16</v>
      </c>
      <c r="X248" s="37">
        <v>11988.02</v>
      </c>
      <c r="Y248" s="22">
        <f>5879.51+5029.75</f>
        <v>10909.26</v>
      </c>
      <c r="Z248" s="37">
        <f>ROUND(Y248+(Y248/Y$251*Y$252),2)-0.01</f>
        <v>10773.96</v>
      </c>
      <c r="AB248" s="261">
        <f t="shared" si="273"/>
        <v>374213.17</v>
      </c>
      <c r="AC248" s="37">
        <f t="shared" si="274"/>
        <v>378919.09999999992</v>
      </c>
    </row>
    <row r="249" spans="1:29" s="260" customFormat="1" x14ac:dyDescent="0.2">
      <c r="A249" s="9" t="s">
        <v>67</v>
      </c>
      <c r="B249" s="9"/>
      <c r="C249" s="22">
        <v>757755.33</v>
      </c>
      <c r="D249" s="37">
        <v>748334.54</v>
      </c>
      <c r="E249" s="70">
        <v>990532.39</v>
      </c>
      <c r="F249" s="37">
        <v>978328.67</v>
      </c>
      <c r="G249" s="70">
        <v>800892.26</v>
      </c>
      <c r="H249" s="37">
        <v>790898.66</v>
      </c>
      <c r="I249" s="22">
        <v>912847.25</v>
      </c>
      <c r="J249" s="37">
        <v>901552.28</v>
      </c>
      <c r="K249" s="22">
        <v>816373.57000000007</v>
      </c>
      <c r="L249" s="37">
        <v>806222.84</v>
      </c>
      <c r="M249" s="22">
        <v>786510.17999999993</v>
      </c>
      <c r="N249" s="37">
        <v>776735.49</v>
      </c>
      <c r="O249" s="22">
        <v>783815.19000000006</v>
      </c>
      <c r="P249" s="37">
        <v>774119.09</v>
      </c>
      <c r="Q249" s="22">
        <v>1007205.15</v>
      </c>
      <c r="R249" s="37">
        <v>994799.55</v>
      </c>
      <c r="S249" s="22">
        <v>784256.22</v>
      </c>
      <c r="T249" s="37">
        <v>774677.76</v>
      </c>
      <c r="U249" s="22">
        <v>737458.9</v>
      </c>
      <c r="V249" s="37">
        <v>728371.52</v>
      </c>
      <c r="W249" s="22">
        <v>895388.60000000009</v>
      </c>
      <c r="X249" s="37">
        <v>884387.76</v>
      </c>
      <c r="Y249" s="22">
        <f>580058.47+234910.09</f>
        <v>814968.55999999994</v>
      </c>
      <c r="Z249" s="37">
        <f t="shared" si="275"/>
        <v>804862.01</v>
      </c>
      <c r="AB249" s="261">
        <f t="shared" si="273"/>
        <v>9963290.1699999999</v>
      </c>
      <c r="AC249" s="37">
        <f t="shared" si="274"/>
        <v>10088003.600000001</v>
      </c>
    </row>
    <row r="250" spans="1:29" s="260" customFormat="1" x14ac:dyDescent="0.2">
      <c r="A250" s="9" t="s">
        <v>97</v>
      </c>
      <c r="B250" s="9"/>
      <c r="C250" s="115">
        <v>23480.74</v>
      </c>
      <c r="D250" s="37">
        <v>23188.82</v>
      </c>
      <c r="E250" s="71">
        <v>28676.76</v>
      </c>
      <c r="F250" s="37">
        <v>28323.45</v>
      </c>
      <c r="G250" s="71">
        <v>25919.38</v>
      </c>
      <c r="H250" s="37">
        <v>25595.96</v>
      </c>
      <c r="I250" s="115">
        <v>27288.880000000001</v>
      </c>
      <c r="J250" s="37">
        <v>26951.23</v>
      </c>
      <c r="K250" s="115">
        <v>25503.89</v>
      </c>
      <c r="L250" s="37">
        <v>25186.78</v>
      </c>
      <c r="M250" s="22">
        <v>24416.06</v>
      </c>
      <c r="N250" s="37">
        <v>24112.62</v>
      </c>
      <c r="O250" s="22">
        <v>27497.85</v>
      </c>
      <c r="P250" s="37">
        <v>27157.69</v>
      </c>
      <c r="Q250" s="22">
        <v>33185.14</v>
      </c>
      <c r="R250" s="37">
        <v>32776.400000000001</v>
      </c>
      <c r="S250" s="107">
        <v>24158.04</v>
      </c>
      <c r="T250" s="37">
        <v>23862.99</v>
      </c>
      <c r="U250" s="22">
        <v>24584.94</v>
      </c>
      <c r="V250" s="37">
        <v>24281.99</v>
      </c>
      <c r="W250" s="107">
        <v>28788.07</v>
      </c>
      <c r="X250" s="37">
        <v>28434.38</v>
      </c>
      <c r="Y250" s="107">
        <v>28691.22</v>
      </c>
      <c r="Z250" s="37">
        <f t="shared" si="275"/>
        <v>28335.42</v>
      </c>
      <c r="AB250" s="268">
        <f t="shared" si="273"/>
        <v>318207.73</v>
      </c>
      <c r="AC250" s="262">
        <f t="shared" si="274"/>
        <v>322190.96999999997</v>
      </c>
    </row>
    <row r="251" spans="1:29" s="260" customFormat="1" x14ac:dyDescent="0.2">
      <c r="A251" s="263" t="s">
        <v>44</v>
      </c>
      <c r="B251" s="9"/>
      <c r="C251" s="34">
        <v>6885337.7499999991</v>
      </c>
      <c r="D251" s="34">
        <v>6799735.8299999991</v>
      </c>
      <c r="E251" s="34">
        <v>8469021.2100000028</v>
      </c>
      <c r="F251" s="72">
        <v>8364679.8099999977</v>
      </c>
      <c r="G251" s="34">
        <v>7558038.6899999985</v>
      </c>
      <c r="H251" s="72">
        <v>7463728.8700000001</v>
      </c>
      <c r="I251" s="72">
        <v>8036963.0100000007</v>
      </c>
      <c r="J251" s="72">
        <v>7937518.9300000016</v>
      </c>
      <c r="K251" s="72">
        <v>7472590.5099999988</v>
      </c>
      <c r="L251" s="72">
        <v>7379676.8699999992</v>
      </c>
      <c r="M251" s="72">
        <v>7147864.8999999994</v>
      </c>
      <c r="N251" s="72">
        <v>7059031.790000001</v>
      </c>
      <c r="O251" s="72">
        <v>6918693.0799999991</v>
      </c>
      <c r="P251" s="72">
        <v>6833106.1800000006</v>
      </c>
      <c r="Q251" s="72">
        <v>8572383.0600000005</v>
      </c>
      <c r="R251" s="72">
        <v>8466798.2400000002</v>
      </c>
      <c r="S251" s="22">
        <v>6281698.2399999984</v>
      </c>
      <c r="T251" s="72">
        <v>6204977.1600000001</v>
      </c>
      <c r="U251" s="34">
        <v>6353654.0900000017</v>
      </c>
      <c r="V251" s="72">
        <v>6275360.8100000005</v>
      </c>
      <c r="W251" s="34">
        <v>7508172.1000000015</v>
      </c>
      <c r="X251" s="34">
        <v>7415925.8599999994</v>
      </c>
      <c r="Y251" s="34">
        <f>SUM(Y228:Y250)</f>
        <v>7359624.2799999984</v>
      </c>
      <c r="Z251" s="34">
        <f>SUM(Z228:Z250)</f>
        <v>7268356.4699999997</v>
      </c>
      <c r="AB251" s="261">
        <f>SUM(AB228:AB250)</f>
        <v>87468896.820000008</v>
      </c>
      <c r="AC251" s="261">
        <f>SUM(AC228:AC250)</f>
        <v>88564040.919999987</v>
      </c>
    </row>
    <row r="252" spans="1:29" s="36" customFormat="1" x14ac:dyDescent="0.2">
      <c r="A252" s="264" t="s">
        <v>45</v>
      </c>
      <c r="C252" s="35">
        <v>-85601.919999999998</v>
      </c>
      <c r="E252" s="73">
        <v>-104341.4</v>
      </c>
      <c r="F252" s="74"/>
      <c r="G252" s="73">
        <v>-94309.82</v>
      </c>
      <c r="H252" s="74"/>
      <c r="I252" s="35">
        <v>-99444.08</v>
      </c>
      <c r="K252" s="35">
        <v>-92913.64</v>
      </c>
      <c r="M252" s="35">
        <v>-88833.11</v>
      </c>
      <c r="O252" s="35">
        <v>-85586.9</v>
      </c>
      <c r="Q252" s="35">
        <v>-105584.82</v>
      </c>
      <c r="S252" s="35">
        <v>-76721.08</v>
      </c>
      <c r="U252" s="35">
        <v>-78293.279999999999</v>
      </c>
      <c r="W252" s="35">
        <v>-92246.24</v>
      </c>
      <c r="Y252" s="35">
        <v>-91267.81</v>
      </c>
      <c r="AC252" s="262">
        <f>+C252+E252+G252+I252+K252+M252+O252+Q252+S252+U252+W252+Y252</f>
        <v>-1095144.1000000001</v>
      </c>
    </row>
    <row r="253" spans="1:29" x14ac:dyDescent="0.2">
      <c r="A253" s="263" t="s">
        <v>27</v>
      </c>
      <c r="C253" s="22">
        <v>6799735.8299999991</v>
      </c>
      <c r="D253" s="22"/>
      <c r="E253" s="22">
        <v>8364679.8100000024</v>
      </c>
      <c r="F253" s="70"/>
      <c r="G253" s="22">
        <v>7463728.8699999982</v>
      </c>
      <c r="H253" s="70"/>
      <c r="I253" s="22">
        <v>7937518.9300000006</v>
      </c>
      <c r="J253" s="22"/>
      <c r="K253" s="22">
        <v>7379676.8699999992</v>
      </c>
      <c r="L253" s="22"/>
      <c r="M253" s="22">
        <v>7059031.7899999991</v>
      </c>
      <c r="N253" s="22"/>
      <c r="O253" s="22">
        <v>6833106.1799999988</v>
      </c>
      <c r="P253" s="22"/>
      <c r="Q253" s="22">
        <v>8466798.2400000002</v>
      </c>
      <c r="R253" s="22"/>
      <c r="S253" s="22">
        <v>6204977.1599999983</v>
      </c>
      <c r="T253" s="22"/>
      <c r="U253" s="22">
        <v>6275360.8100000015</v>
      </c>
      <c r="V253" s="22"/>
      <c r="W253" s="22">
        <v>7415925.8600000013</v>
      </c>
      <c r="X253" s="22"/>
      <c r="Y253" s="22">
        <f>+Y251+Y252</f>
        <v>7268356.4699999988</v>
      </c>
      <c r="Z253" s="22"/>
      <c r="AC253" s="265">
        <f>SUM(AC251:AC252)</f>
        <v>87468896.819999993</v>
      </c>
    </row>
    <row r="254" spans="1:29" x14ac:dyDescent="0.2">
      <c r="C254" s="22">
        <v>6799735.8300000001</v>
      </c>
      <c r="E254" s="40">
        <v>8364679.8099999996</v>
      </c>
      <c r="F254" s="40"/>
      <c r="G254" s="40">
        <v>7463728.8700000001</v>
      </c>
      <c r="H254" s="40"/>
      <c r="I254" s="37">
        <v>7937518.9299999997</v>
      </c>
      <c r="K254" s="37">
        <v>7379676.8700000001</v>
      </c>
      <c r="M254" s="37">
        <v>7059031.79</v>
      </c>
      <c r="O254" s="48">
        <v>6833106.1799999997</v>
      </c>
      <c r="Q254" s="37">
        <v>8466798.2400000002</v>
      </c>
      <c r="S254" s="37">
        <v>6204977.1600000001</v>
      </c>
      <c r="U254" s="37">
        <v>6275360.8099999996</v>
      </c>
      <c r="W254" s="37">
        <v>7415925.8600000003</v>
      </c>
      <c r="Y254" s="37">
        <v>7268356.4699999997</v>
      </c>
    </row>
    <row r="255" spans="1:29" x14ac:dyDescent="0.2">
      <c r="C255" s="22">
        <v>0</v>
      </c>
      <c r="D255" s="22"/>
      <c r="E255" s="22">
        <v>0</v>
      </c>
      <c r="F255" s="40"/>
      <c r="G255" s="22">
        <v>0</v>
      </c>
      <c r="H255" s="40"/>
      <c r="I255" s="22">
        <v>0</v>
      </c>
      <c r="K255" s="37">
        <v>0</v>
      </c>
      <c r="M255" s="37">
        <v>0</v>
      </c>
      <c r="O255" s="37">
        <v>0</v>
      </c>
      <c r="Q255" s="37">
        <v>0</v>
      </c>
      <c r="S255" s="37">
        <v>0</v>
      </c>
      <c r="U255" s="37">
        <v>0</v>
      </c>
      <c r="W255" s="37">
        <v>0</v>
      </c>
      <c r="X255" s="37">
        <v>0</v>
      </c>
      <c r="Y255" s="37">
        <f>+Y253-Y254</f>
        <v>0</v>
      </c>
    </row>
    <row r="256" spans="1:29" x14ac:dyDescent="0.2">
      <c r="A256" s="9" t="s">
        <v>92</v>
      </c>
      <c r="C256" s="22"/>
      <c r="E256" s="40"/>
      <c r="F256" s="40"/>
      <c r="G256" s="40"/>
      <c r="H256" s="40"/>
      <c r="K256" s="37">
        <v>7379676.8700000001</v>
      </c>
      <c r="M256" s="37">
        <v>7059031.79</v>
      </c>
      <c r="O256" s="37">
        <v>6833106.1799999997</v>
      </c>
      <c r="Q256" s="37">
        <v>8466798.2400000002</v>
      </c>
    </row>
    <row r="257" spans="1:28" x14ac:dyDescent="0.2">
      <c r="C257" s="22"/>
      <c r="E257" s="40"/>
      <c r="F257" s="40"/>
      <c r="G257" s="40"/>
      <c r="H257" s="40"/>
    </row>
    <row r="258" spans="1:28" ht="17.25" x14ac:dyDescent="0.35">
      <c r="A258" s="9" t="s">
        <v>0</v>
      </c>
      <c r="E258" s="47"/>
      <c r="F258" s="47"/>
      <c r="G258" s="47"/>
      <c r="Q258" s="267"/>
      <c r="R258" s="267"/>
      <c r="S258" s="267"/>
    </row>
    <row r="259" spans="1:28" ht="15" x14ac:dyDescent="0.2">
      <c r="A259" s="9" t="s">
        <v>83</v>
      </c>
      <c r="E259" s="47"/>
      <c r="F259" s="47"/>
      <c r="G259" s="47"/>
    </row>
    <row r="260" spans="1:28" ht="15" x14ac:dyDescent="0.2">
      <c r="A260" s="20" t="s">
        <v>104</v>
      </c>
      <c r="E260" s="47"/>
      <c r="F260" s="47"/>
      <c r="G260" s="47"/>
    </row>
    <row r="261" spans="1:28" ht="15" x14ac:dyDescent="0.2">
      <c r="E261" s="47"/>
      <c r="F261" s="47"/>
      <c r="G261" s="47"/>
    </row>
    <row r="262" spans="1:28" s="259" customFormat="1" x14ac:dyDescent="0.2">
      <c r="C262" s="38" t="s">
        <v>28</v>
      </c>
      <c r="D262" s="38" t="s">
        <v>29</v>
      </c>
      <c r="E262" s="38" t="s">
        <v>28</v>
      </c>
      <c r="F262" s="38" t="s">
        <v>29</v>
      </c>
      <c r="G262" s="38" t="s">
        <v>28</v>
      </c>
      <c r="H262" s="38" t="s">
        <v>29</v>
      </c>
      <c r="I262" s="38" t="s">
        <v>28</v>
      </c>
      <c r="J262" s="38" t="s">
        <v>29</v>
      </c>
      <c r="K262" s="38" t="s">
        <v>28</v>
      </c>
      <c r="L262" s="38" t="s">
        <v>29</v>
      </c>
      <c r="M262" s="38" t="s">
        <v>28</v>
      </c>
      <c r="N262" s="38" t="s">
        <v>29</v>
      </c>
      <c r="O262" s="38" t="s">
        <v>28</v>
      </c>
      <c r="P262" s="38" t="s">
        <v>29</v>
      </c>
      <c r="Q262" s="38" t="s">
        <v>28</v>
      </c>
      <c r="R262" s="38" t="s">
        <v>29</v>
      </c>
      <c r="S262" s="38" t="s">
        <v>28</v>
      </c>
      <c r="T262" s="38" t="s">
        <v>29</v>
      </c>
      <c r="U262" s="38" t="s">
        <v>28</v>
      </c>
      <c r="V262" s="38" t="s">
        <v>29</v>
      </c>
      <c r="W262" s="38" t="s">
        <v>28</v>
      </c>
      <c r="X262" s="38" t="s">
        <v>29</v>
      </c>
      <c r="Y262" s="38" t="s">
        <v>28</v>
      </c>
      <c r="Z262" s="38" t="s">
        <v>29</v>
      </c>
      <c r="AA262" s="38"/>
      <c r="AB262" s="38"/>
    </row>
    <row r="263" spans="1:28" x14ac:dyDescent="0.2">
      <c r="A263" s="9" t="s">
        <v>30</v>
      </c>
      <c r="C263" s="37"/>
      <c r="D263" s="38" t="s">
        <v>84</v>
      </c>
      <c r="F263" s="38" t="s">
        <v>84</v>
      </c>
      <c r="H263" s="38" t="s">
        <v>84</v>
      </c>
      <c r="J263" s="38" t="s">
        <v>84</v>
      </c>
      <c r="L263" s="38" t="s">
        <v>84</v>
      </c>
      <c r="N263" s="38" t="s">
        <v>84</v>
      </c>
      <c r="P263" s="38" t="s">
        <v>84</v>
      </c>
      <c r="R263" s="38" t="s">
        <v>84</v>
      </c>
      <c r="T263" s="38" t="s">
        <v>84</v>
      </c>
      <c r="V263" s="38" t="s">
        <v>84</v>
      </c>
      <c r="X263" s="38" t="s">
        <v>84</v>
      </c>
      <c r="Z263" s="38" t="s">
        <v>84</v>
      </c>
    </row>
    <row r="264" spans="1:28" s="24" customFormat="1" x14ac:dyDescent="0.2">
      <c r="C264" s="49" t="s">
        <v>32</v>
      </c>
      <c r="D264" s="26" t="s">
        <v>31</v>
      </c>
      <c r="E264" s="49" t="s">
        <v>33</v>
      </c>
      <c r="F264" s="26" t="s">
        <v>31</v>
      </c>
      <c r="G264" s="49" t="s">
        <v>34</v>
      </c>
      <c r="H264" s="26" t="s">
        <v>31</v>
      </c>
      <c r="I264" s="49" t="s">
        <v>35</v>
      </c>
      <c r="J264" s="26" t="s">
        <v>31</v>
      </c>
      <c r="K264" s="49" t="s">
        <v>36</v>
      </c>
      <c r="L264" s="26" t="s">
        <v>31</v>
      </c>
      <c r="M264" s="26" t="s">
        <v>37</v>
      </c>
      <c r="N264" s="26" t="s">
        <v>31</v>
      </c>
      <c r="O264" s="26" t="s">
        <v>38</v>
      </c>
      <c r="P264" s="26" t="s">
        <v>31</v>
      </c>
      <c r="Q264" s="26" t="s">
        <v>39</v>
      </c>
      <c r="R264" s="26" t="s">
        <v>31</v>
      </c>
      <c r="S264" s="26" t="s">
        <v>40</v>
      </c>
      <c r="T264" s="26" t="s">
        <v>31</v>
      </c>
      <c r="U264" s="26" t="s">
        <v>41</v>
      </c>
      <c r="V264" s="26" t="s">
        <v>31</v>
      </c>
      <c r="W264" s="26" t="s">
        <v>42</v>
      </c>
      <c r="X264" s="26" t="s">
        <v>31</v>
      </c>
      <c r="Y264" s="26" t="s">
        <v>43</v>
      </c>
      <c r="Z264" s="26" t="s">
        <v>31</v>
      </c>
      <c r="AA264" s="26"/>
      <c r="AB264" s="26"/>
    </row>
    <row r="265" spans="1:28" s="260" customFormat="1" x14ac:dyDescent="0.2">
      <c r="A265" s="9" t="s">
        <v>48</v>
      </c>
      <c r="B265" s="9"/>
      <c r="C265" s="22">
        <v>74271.75</v>
      </c>
      <c r="D265" s="37">
        <v>73342.990000000005</v>
      </c>
      <c r="E265" s="70">
        <v>46561.760000000002</v>
      </c>
      <c r="F265" s="37">
        <v>45983.53</v>
      </c>
      <c r="G265" s="70">
        <v>29839.75</v>
      </c>
      <c r="H265" s="37">
        <v>29468.92</v>
      </c>
      <c r="I265" s="22">
        <v>31277.34</v>
      </c>
      <c r="J265" s="37">
        <v>30892.63</v>
      </c>
      <c r="K265" s="22">
        <v>25569.24</v>
      </c>
      <c r="L265" s="37">
        <v>25249.57</v>
      </c>
      <c r="M265" s="34">
        <v>22247.42</v>
      </c>
      <c r="N265" s="37">
        <v>21973.86</v>
      </c>
      <c r="O265" s="34">
        <v>17873.77</v>
      </c>
      <c r="P265" s="37">
        <v>17656.689999999999</v>
      </c>
      <c r="Q265" s="22">
        <v>9794.91</v>
      </c>
      <c r="R265" s="37">
        <v>9674.33</v>
      </c>
      <c r="S265" s="22">
        <v>14934.41</v>
      </c>
      <c r="T265" s="37">
        <v>14752.1</v>
      </c>
      <c r="U265" s="22">
        <v>13636.11</v>
      </c>
      <c r="V265" s="37">
        <v>13467.88</v>
      </c>
      <c r="W265" s="22">
        <v>21758.39</v>
      </c>
      <c r="X265" s="37">
        <v>21495.5</v>
      </c>
      <c r="Y265" s="22">
        <v>57718.42</v>
      </c>
      <c r="Z265" s="37">
        <v>57015.42</v>
      </c>
      <c r="AB265" s="261">
        <v>303958</v>
      </c>
    </row>
    <row r="266" spans="1:28" s="260" customFormat="1" x14ac:dyDescent="0.2">
      <c r="A266" s="9" t="s">
        <v>22</v>
      </c>
      <c r="B266" s="9"/>
      <c r="C266" s="22">
        <v>0</v>
      </c>
      <c r="D266" s="37">
        <v>0</v>
      </c>
      <c r="E266" s="70">
        <v>0</v>
      </c>
      <c r="F266" s="37">
        <v>0</v>
      </c>
      <c r="G266" s="70">
        <v>0</v>
      </c>
      <c r="H266" s="37">
        <v>0</v>
      </c>
      <c r="I266" s="22">
        <v>0</v>
      </c>
      <c r="J266" s="37">
        <v>0</v>
      </c>
      <c r="K266" s="22">
        <v>0</v>
      </c>
      <c r="L266" s="37">
        <v>0</v>
      </c>
      <c r="M266" s="22">
        <v>66.12</v>
      </c>
      <c r="N266" s="37">
        <v>65.31</v>
      </c>
      <c r="O266" s="22">
        <v>0</v>
      </c>
      <c r="P266" s="37">
        <v>0</v>
      </c>
      <c r="Q266" s="22">
        <v>66.540000000000006</v>
      </c>
      <c r="R266" s="37">
        <v>65.72</v>
      </c>
      <c r="S266" s="22">
        <v>10.69</v>
      </c>
      <c r="T266" s="37">
        <v>10.56</v>
      </c>
      <c r="U266" s="22">
        <v>0</v>
      </c>
      <c r="V266" s="37">
        <v>0</v>
      </c>
      <c r="W266" s="22">
        <v>0</v>
      </c>
      <c r="X266" s="37">
        <v>0</v>
      </c>
      <c r="Y266" s="22">
        <v>132.24</v>
      </c>
      <c r="Z266" s="37">
        <v>130.63</v>
      </c>
      <c r="AB266" s="261">
        <v>141.59</v>
      </c>
    </row>
    <row r="267" spans="1:28" s="260" customFormat="1" x14ac:dyDescent="0.2">
      <c r="A267" s="9" t="s">
        <v>49</v>
      </c>
      <c r="B267" s="9"/>
      <c r="C267" s="22">
        <v>139406.79</v>
      </c>
      <c r="D267" s="37">
        <v>137663.51999999999</v>
      </c>
      <c r="E267" s="70">
        <v>137030.75</v>
      </c>
      <c r="F267" s="37">
        <v>135329.01</v>
      </c>
      <c r="G267" s="70">
        <v>154100.09</v>
      </c>
      <c r="H267" s="37">
        <v>152185.04999999999</v>
      </c>
      <c r="I267" s="22">
        <v>164375.25</v>
      </c>
      <c r="J267" s="37">
        <v>162353.45000000001</v>
      </c>
      <c r="K267" s="22">
        <v>150968.79999999999</v>
      </c>
      <c r="L267" s="37">
        <v>149081.37</v>
      </c>
      <c r="M267" s="22">
        <v>144658.31</v>
      </c>
      <c r="N267" s="37">
        <v>142879.53</v>
      </c>
      <c r="O267" s="22">
        <v>176466.37</v>
      </c>
      <c r="P267" s="37">
        <v>174323.15</v>
      </c>
      <c r="Q267" s="22">
        <v>239355.89</v>
      </c>
      <c r="R267" s="37">
        <v>236409.34</v>
      </c>
      <c r="S267" s="22">
        <v>276081.62</v>
      </c>
      <c r="T267" s="37">
        <v>272711.40999999997</v>
      </c>
      <c r="U267" s="22">
        <v>285759.31</v>
      </c>
      <c r="V267" s="37">
        <v>282233.82</v>
      </c>
      <c r="W267" s="22">
        <v>251860.87</v>
      </c>
      <c r="X267" s="37">
        <v>248817.79</v>
      </c>
      <c r="Y267" s="22">
        <v>191778.1</v>
      </c>
      <c r="Z267" s="37">
        <v>189442.26</v>
      </c>
      <c r="AB267" s="261">
        <v>2093987.4400000002</v>
      </c>
    </row>
    <row r="268" spans="1:28" s="260" customFormat="1" x14ac:dyDescent="0.2">
      <c r="A268" s="9" t="s">
        <v>23</v>
      </c>
      <c r="B268" s="9"/>
      <c r="C268" s="22">
        <v>793781.56</v>
      </c>
      <c r="D268" s="37">
        <v>783855.4</v>
      </c>
      <c r="E268" s="70">
        <v>1052905.49</v>
      </c>
      <c r="F268" s="37">
        <v>1039829.82</v>
      </c>
      <c r="G268" s="70">
        <v>919830.63</v>
      </c>
      <c r="H268" s="37">
        <v>908399.66</v>
      </c>
      <c r="I268" s="22">
        <v>742562.97</v>
      </c>
      <c r="J268" s="37">
        <v>733429.53</v>
      </c>
      <c r="K268" s="22">
        <v>796139.73</v>
      </c>
      <c r="L268" s="37">
        <v>786186.29</v>
      </c>
      <c r="M268" s="22">
        <v>730385.61</v>
      </c>
      <c r="N268" s="37">
        <v>721404.5</v>
      </c>
      <c r="O268" s="22">
        <v>634157.66</v>
      </c>
      <c r="P268" s="37">
        <v>626455.68000000005</v>
      </c>
      <c r="Q268" s="22">
        <v>629874.4</v>
      </c>
      <c r="R268" s="37">
        <v>622120.44999999995</v>
      </c>
      <c r="S268" s="22">
        <v>559737.92000000004</v>
      </c>
      <c r="T268" s="37">
        <v>552905.04</v>
      </c>
      <c r="U268" s="22">
        <v>624135.93999999994</v>
      </c>
      <c r="V268" s="37">
        <v>616435.81999999995</v>
      </c>
      <c r="W268" s="22">
        <v>484549.57</v>
      </c>
      <c r="X268" s="37">
        <v>478695.06</v>
      </c>
      <c r="Y268" s="22">
        <v>353536.55</v>
      </c>
      <c r="Z268" s="37">
        <v>349230.51</v>
      </c>
      <c r="AB268" s="261">
        <v>7869717.25</v>
      </c>
    </row>
    <row r="269" spans="1:28" s="260" customFormat="1" x14ac:dyDescent="0.2">
      <c r="A269" s="9" t="s">
        <v>24</v>
      </c>
      <c r="B269" s="9"/>
      <c r="C269" s="22">
        <v>124797.16</v>
      </c>
      <c r="D269" s="37">
        <v>123236.58</v>
      </c>
      <c r="E269" s="70">
        <v>107904.52</v>
      </c>
      <c r="F269" s="37">
        <v>106564.49</v>
      </c>
      <c r="G269" s="70">
        <v>143704.29</v>
      </c>
      <c r="H269" s="37">
        <v>141918.44</v>
      </c>
      <c r="I269" s="22">
        <v>130688.45</v>
      </c>
      <c r="J269" s="37">
        <v>129081</v>
      </c>
      <c r="K269" s="22">
        <v>132851.07</v>
      </c>
      <c r="L269" s="37">
        <v>131190.15</v>
      </c>
      <c r="M269" s="22">
        <v>134619.18</v>
      </c>
      <c r="N269" s="37">
        <v>132963.85</v>
      </c>
      <c r="O269" s="22">
        <v>121857.25</v>
      </c>
      <c r="P269" s="37">
        <v>120377.27</v>
      </c>
      <c r="Q269" s="22">
        <v>124688.34</v>
      </c>
      <c r="R269" s="37">
        <v>123153.39</v>
      </c>
      <c r="S269" s="22">
        <v>113891.08</v>
      </c>
      <c r="T269" s="37">
        <v>112500.78</v>
      </c>
      <c r="U269" s="22">
        <v>100162.35</v>
      </c>
      <c r="V269" s="37">
        <v>98926.62</v>
      </c>
      <c r="W269" s="22">
        <v>119776.97</v>
      </c>
      <c r="X269" s="37">
        <v>118329.78</v>
      </c>
      <c r="Y269" s="22">
        <v>125219.35</v>
      </c>
      <c r="Z269" s="37">
        <v>123694.19</v>
      </c>
      <c r="AB269" s="261">
        <v>1338242.3499999999</v>
      </c>
    </row>
    <row r="270" spans="1:28" s="260" customFormat="1" x14ac:dyDescent="0.2">
      <c r="A270" s="9" t="s">
        <v>25</v>
      </c>
      <c r="B270" s="9"/>
      <c r="C270" s="22">
        <v>132576.26</v>
      </c>
      <c r="D270" s="37">
        <v>130918.41</v>
      </c>
      <c r="E270" s="70">
        <v>110577.1</v>
      </c>
      <c r="F270" s="37">
        <v>109203.88</v>
      </c>
      <c r="G270" s="70">
        <v>131412.59</v>
      </c>
      <c r="H270" s="37">
        <v>129779.49</v>
      </c>
      <c r="I270" s="22">
        <v>122959.74</v>
      </c>
      <c r="J270" s="37">
        <v>121447.35</v>
      </c>
      <c r="K270" s="22">
        <v>105679.03999999999</v>
      </c>
      <c r="L270" s="37">
        <v>104357.83</v>
      </c>
      <c r="M270" s="22">
        <v>113207.32</v>
      </c>
      <c r="N270" s="37">
        <v>111815.28</v>
      </c>
      <c r="O270" s="22">
        <v>107803.67</v>
      </c>
      <c r="P270" s="37">
        <v>106494.37</v>
      </c>
      <c r="Q270" s="22">
        <v>116362.03</v>
      </c>
      <c r="R270" s="37">
        <v>114929.58</v>
      </c>
      <c r="S270" s="22">
        <v>95605.08</v>
      </c>
      <c r="T270" s="37">
        <v>94438</v>
      </c>
      <c r="U270" s="22">
        <v>100100.68</v>
      </c>
      <c r="V270" s="37">
        <v>98865.71</v>
      </c>
      <c r="W270" s="22">
        <v>111039.15</v>
      </c>
      <c r="X270" s="37">
        <v>109697.53</v>
      </c>
      <c r="Y270" s="22">
        <v>111590.05</v>
      </c>
      <c r="Z270" s="37">
        <v>110230.9</v>
      </c>
      <c r="AB270" s="261">
        <v>1231947.43</v>
      </c>
    </row>
    <row r="271" spans="1:28" s="260" customFormat="1" x14ac:dyDescent="0.2">
      <c r="A271" s="9" t="s">
        <v>26</v>
      </c>
      <c r="B271" s="9"/>
      <c r="C271" s="22">
        <v>2265616.21</v>
      </c>
      <c r="D271" s="37">
        <v>2237284.89</v>
      </c>
      <c r="E271" s="70">
        <v>2318845.17</v>
      </c>
      <c r="F271" s="37">
        <v>2290048.23</v>
      </c>
      <c r="G271" s="70">
        <v>2380472.5499999998</v>
      </c>
      <c r="H271" s="37">
        <v>2350889.81</v>
      </c>
      <c r="I271" s="22">
        <v>2468217.7799999998</v>
      </c>
      <c r="J271" s="37">
        <v>2437858.9900000002</v>
      </c>
      <c r="K271" s="22">
        <v>2367188.31</v>
      </c>
      <c r="L271" s="37">
        <v>2337593.4300000002</v>
      </c>
      <c r="M271" s="22">
        <v>2216068.83</v>
      </c>
      <c r="N271" s="37">
        <v>2188819.16</v>
      </c>
      <c r="O271" s="22">
        <v>2187553.9900000002</v>
      </c>
      <c r="P271" s="37">
        <v>2160985.69</v>
      </c>
      <c r="Q271" s="22">
        <v>2912963.08</v>
      </c>
      <c r="R271" s="37">
        <v>2877103.58</v>
      </c>
      <c r="S271" s="22">
        <v>1770950.03</v>
      </c>
      <c r="T271" s="37">
        <v>1749331.53</v>
      </c>
      <c r="U271" s="22">
        <v>1768575.86</v>
      </c>
      <c r="V271" s="37">
        <v>1746756.49</v>
      </c>
      <c r="W271" s="22">
        <v>2063703.87</v>
      </c>
      <c r="X271" s="37">
        <v>2038769.42</v>
      </c>
      <c r="Y271" s="22">
        <v>2066038.58</v>
      </c>
      <c r="Z271" s="37">
        <v>2040874.46</v>
      </c>
      <c r="AB271" s="261">
        <v>24415441.219999999</v>
      </c>
    </row>
    <row r="272" spans="1:28" s="260" customFormat="1" x14ac:dyDescent="0.2">
      <c r="A272" s="9" t="s">
        <v>50</v>
      </c>
      <c r="B272" s="9"/>
      <c r="C272" s="22">
        <v>42438.87</v>
      </c>
      <c r="D272" s="37">
        <v>41908.18</v>
      </c>
      <c r="E272" s="70">
        <v>44420.5</v>
      </c>
      <c r="F272" s="37">
        <v>43868.86</v>
      </c>
      <c r="G272" s="70">
        <v>54219.05</v>
      </c>
      <c r="H272" s="37">
        <v>53545.26</v>
      </c>
      <c r="I272" s="22">
        <v>63806.65</v>
      </c>
      <c r="J272" s="37">
        <v>63021.84</v>
      </c>
      <c r="K272" s="22">
        <v>49156.95</v>
      </c>
      <c r="L272" s="37">
        <v>48542.38</v>
      </c>
      <c r="M272" s="22">
        <v>55500.63</v>
      </c>
      <c r="N272" s="37">
        <v>54818.17</v>
      </c>
      <c r="O272" s="22">
        <v>36018.769999999997</v>
      </c>
      <c r="P272" s="37">
        <v>35581.31</v>
      </c>
      <c r="Q272" s="22">
        <v>34064.080000000002</v>
      </c>
      <c r="R272" s="37">
        <v>33644.74</v>
      </c>
      <c r="S272" s="22">
        <v>32901.5</v>
      </c>
      <c r="T272" s="37">
        <v>32499.86</v>
      </c>
      <c r="U272" s="22">
        <v>31573.66</v>
      </c>
      <c r="V272" s="37">
        <v>31184.13</v>
      </c>
      <c r="W272" s="22">
        <v>33253.01</v>
      </c>
      <c r="X272" s="37">
        <v>32851.230000000003</v>
      </c>
      <c r="Y272" s="22">
        <v>43676.76</v>
      </c>
      <c r="Z272" s="37">
        <v>43144.78</v>
      </c>
      <c r="AB272" s="261">
        <v>471465.95999999996</v>
      </c>
    </row>
    <row r="273" spans="1:28" s="260" customFormat="1" x14ac:dyDescent="0.2">
      <c r="A273" s="9" t="s">
        <v>55</v>
      </c>
      <c r="B273" s="9"/>
      <c r="C273" s="22">
        <v>136616.07999999999</v>
      </c>
      <c r="D273" s="37">
        <v>134907.71</v>
      </c>
      <c r="E273" s="70">
        <v>149690.29</v>
      </c>
      <c r="F273" s="37">
        <v>147831.34</v>
      </c>
      <c r="G273" s="70">
        <v>167281.99</v>
      </c>
      <c r="H273" s="37">
        <v>165203.13</v>
      </c>
      <c r="I273" s="22">
        <v>150140.45000000001</v>
      </c>
      <c r="J273" s="37">
        <v>148293.74</v>
      </c>
      <c r="K273" s="22">
        <v>272261.95</v>
      </c>
      <c r="L273" s="37">
        <v>268858.09999999998</v>
      </c>
      <c r="M273" s="22">
        <v>271224.28999999998</v>
      </c>
      <c r="N273" s="37">
        <v>267889.21000000002</v>
      </c>
      <c r="O273" s="22">
        <v>239168.57</v>
      </c>
      <c r="P273" s="37">
        <v>236263.82</v>
      </c>
      <c r="Q273" s="22">
        <v>280375.07</v>
      </c>
      <c r="R273" s="37">
        <v>276923.56</v>
      </c>
      <c r="S273" s="22">
        <v>273818.7</v>
      </c>
      <c r="T273" s="37">
        <v>270476.12</v>
      </c>
      <c r="U273" s="22">
        <v>278352.03999999998</v>
      </c>
      <c r="V273" s="37">
        <v>274917.94</v>
      </c>
      <c r="W273" s="22">
        <v>285757.25</v>
      </c>
      <c r="X273" s="37">
        <v>282304.62</v>
      </c>
      <c r="Y273" s="22">
        <v>284600.84000000003</v>
      </c>
      <c r="Z273" s="37">
        <v>281134.43</v>
      </c>
      <c r="AB273" s="261">
        <v>2473869.29</v>
      </c>
    </row>
    <row r="274" spans="1:28" s="260" customFormat="1" x14ac:dyDescent="0.2">
      <c r="A274" s="9" t="s">
        <v>51</v>
      </c>
      <c r="B274" s="9"/>
      <c r="C274" s="22">
        <v>62265.45</v>
      </c>
      <c r="D274" s="37">
        <v>61486.83</v>
      </c>
      <c r="E274" s="70">
        <v>80123.17</v>
      </c>
      <c r="F274" s="37">
        <v>79128.149999999994</v>
      </c>
      <c r="G274" s="70">
        <v>74079.14</v>
      </c>
      <c r="H274" s="37">
        <v>73158.539999999994</v>
      </c>
      <c r="I274" s="22">
        <v>60911</v>
      </c>
      <c r="J274" s="37">
        <v>60161.8</v>
      </c>
      <c r="K274" s="22">
        <v>90559.35</v>
      </c>
      <c r="L274" s="37">
        <v>89427.17</v>
      </c>
      <c r="M274" s="22">
        <v>92774.79</v>
      </c>
      <c r="N274" s="37">
        <v>91633.99</v>
      </c>
      <c r="O274" s="22">
        <v>75903.7</v>
      </c>
      <c r="P274" s="37">
        <v>74981.83</v>
      </c>
      <c r="Q274" s="22">
        <v>68526.03</v>
      </c>
      <c r="R274" s="37">
        <v>67682.45</v>
      </c>
      <c r="S274" s="22">
        <v>70085</v>
      </c>
      <c r="T274" s="37">
        <v>69229.45</v>
      </c>
      <c r="U274" s="22">
        <v>64518.2</v>
      </c>
      <c r="V274" s="37">
        <v>63722.22</v>
      </c>
      <c r="W274" s="22">
        <v>61179.83</v>
      </c>
      <c r="X274" s="37">
        <v>60440.63</v>
      </c>
      <c r="Y274" s="22">
        <v>91958.11</v>
      </c>
      <c r="Z274" s="37">
        <v>90838.07</v>
      </c>
      <c r="AB274" s="261">
        <v>791053.05999999982</v>
      </c>
    </row>
    <row r="275" spans="1:28" s="260" customFormat="1" x14ac:dyDescent="0.2">
      <c r="A275" s="9" t="s">
        <v>52</v>
      </c>
      <c r="B275" s="9"/>
      <c r="C275" s="22">
        <v>102755.63</v>
      </c>
      <c r="D275" s="37">
        <v>101470.68</v>
      </c>
      <c r="E275" s="70">
        <v>135173.79999999999</v>
      </c>
      <c r="F275" s="37">
        <v>133495.12</v>
      </c>
      <c r="G275" s="70">
        <v>139206.16</v>
      </c>
      <c r="H275" s="37">
        <v>137476.21</v>
      </c>
      <c r="I275" s="22">
        <v>120689.29</v>
      </c>
      <c r="J275" s="37">
        <v>119204.83</v>
      </c>
      <c r="K275" s="22">
        <v>160689.79</v>
      </c>
      <c r="L275" s="37">
        <v>158680.82999999999</v>
      </c>
      <c r="M275" s="22">
        <v>147117.53</v>
      </c>
      <c r="N275" s="37">
        <v>145308.51</v>
      </c>
      <c r="O275" s="22">
        <v>113739.49</v>
      </c>
      <c r="P275" s="37">
        <v>112358.1</v>
      </c>
      <c r="Q275" s="22">
        <v>147398.25</v>
      </c>
      <c r="R275" s="37">
        <v>145583.73000000001</v>
      </c>
      <c r="S275" s="22">
        <v>106843.65</v>
      </c>
      <c r="T275" s="37">
        <v>105539.38</v>
      </c>
      <c r="U275" s="22">
        <v>88134.86</v>
      </c>
      <c r="V275" s="37">
        <v>87047.52</v>
      </c>
      <c r="W275" s="22">
        <v>129977.11</v>
      </c>
      <c r="X275" s="37">
        <v>128406.68</v>
      </c>
      <c r="Y275" s="22">
        <v>101367.39</v>
      </c>
      <c r="Z275" s="37">
        <v>100132.75</v>
      </c>
      <c r="AB275" s="261">
        <v>1374571.59</v>
      </c>
    </row>
    <row r="276" spans="1:28" s="260" customFormat="1" x14ac:dyDescent="0.2">
      <c r="A276" s="9" t="s">
        <v>56</v>
      </c>
      <c r="B276" s="9"/>
      <c r="C276" s="22">
        <v>500700.01</v>
      </c>
      <c r="D276" s="37">
        <v>494438.8</v>
      </c>
      <c r="E276" s="70">
        <v>611354.06999999995</v>
      </c>
      <c r="F276" s="37">
        <v>603761.87</v>
      </c>
      <c r="G276" s="70">
        <v>497276.11</v>
      </c>
      <c r="H276" s="37">
        <v>491096.33</v>
      </c>
      <c r="I276" s="22">
        <v>492674.73</v>
      </c>
      <c r="J276" s="37">
        <v>486614.89</v>
      </c>
      <c r="K276" s="22">
        <v>476612.75</v>
      </c>
      <c r="L276" s="37">
        <v>470654.08</v>
      </c>
      <c r="M276" s="22">
        <v>547863.30000000005</v>
      </c>
      <c r="N276" s="37">
        <v>541126.55000000005</v>
      </c>
      <c r="O276" s="22">
        <v>466374.66</v>
      </c>
      <c r="P276" s="37">
        <v>460710.44</v>
      </c>
      <c r="Q276" s="22">
        <v>622692.72</v>
      </c>
      <c r="R276" s="37">
        <v>615027.17000000004</v>
      </c>
      <c r="S276" s="22">
        <v>558828.07999999996</v>
      </c>
      <c r="T276" s="37">
        <v>552006.30000000005</v>
      </c>
      <c r="U276" s="22">
        <v>496573.9</v>
      </c>
      <c r="V276" s="37">
        <v>490447.54</v>
      </c>
      <c r="W276" s="22">
        <v>560809.03</v>
      </c>
      <c r="X276" s="37">
        <v>554033.12</v>
      </c>
      <c r="Y276" s="22">
        <v>599442.81000000006</v>
      </c>
      <c r="Z276" s="37">
        <v>592141.66</v>
      </c>
      <c r="AB276" s="261">
        <v>5759917.0900000008</v>
      </c>
    </row>
    <row r="277" spans="1:28" s="260" customFormat="1" x14ac:dyDescent="0.2">
      <c r="A277" s="9" t="s">
        <v>53</v>
      </c>
      <c r="B277" s="9"/>
      <c r="C277" s="22">
        <v>15104.34</v>
      </c>
      <c r="D277" s="37">
        <v>14915.46</v>
      </c>
      <c r="E277" s="70">
        <v>14581.95</v>
      </c>
      <c r="F277" s="37">
        <v>14400.86</v>
      </c>
      <c r="G277" s="70">
        <v>22345.360000000001</v>
      </c>
      <c r="H277" s="37">
        <v>22067.67</v>
      </c>
      <c r="I277" s="22">
        <v>31496.26</v>
      </c>
      <c r="J277" s="37">
        <v>31108.86</v>
      </c>
      <c r="K277" s="22">
        <v>17046.13</v>
      </c>
      <c r="L277" s="37">
        <v>16833.02</v>
      </c>
      <c r="M277" s="22">
        <v>25341.68</v>
      </c>
      <c r="N277" s="37">
        <v>25030.07</v>
      </c>
      <c r="O277" s="22">
        <v>15832.14</v>
      </c>
      <c r="P277" s="37">
        <v>15639.86</v>
      </c>
      <c r="Q277" s="22">
        <v>15269.12</v>
      </c>
      <c r="R277" s="37">
        <v>15081.15</v>
      </c>
      <c r="S277" s="22">
        <v>14673.82</v>
      </c>
      <c r="T277" s="37">
        <v>14494.69</v>
      </c>
      <c r="U277" s="22">
        <v>25322.6</v>
      </c>
      <c r="V277" s="37">
        <v>25010.19</v>
      </c>
      <c r="W277" s="22">
        <v>16066.16</v>
      </c>
      <c r="X277" s="37">
        <v>15872.04</v>
      </c>
      <c r="Y277" s="22">
        <v>17798.52</v>
      </c>
      <c r="Z277" s="37">
        <v>17581.740000000002</v>
      </c>
      <c r="AB277" s="261">
        <v>210453.87</v>
      </c>
    </row>
    <row r="278" spans="1:28" s="260" customFormat="1" x14ac:dyDescent="0.2">
      <c r="A278" s="9" t="s">
        <v>57</v>
      </c>
      <c r="B278" s="9"/>
      <c r="C278" s="22">
        <v>29867.79</v>
      </c>
      <c r="D278" s="37">
        <v>29494.3</v>
      </c>
      <c r="E278" s="70">
        <v>53689.45</v>
      </c>
      <c r="F278" s="37">
        <v>53022.7</v>
      </c>
      <c r="G278" s="70">
        <v>37642.67</v>
      </c>
      <c r="H278" s="37">
        <v>37174.870000000003</v>
      </c>
      <c r="I278" s="22">
        <v>48532.39</v>
      </c>
      <c r="J278" s="37">
        <v>47935.45</v>
      </c>
      <c r="K278" s="22">
        <v>38889.17</v>
      </c>
      <c r="L278" s="37">
        <v>38402.97</v>
      </c>
      <c r="M278" s="22">
        <v>38292.089999999997</v>
      </c>
      <c r="N278" s="37">
        <v>37821.24</v>
      </c>
      <c r="O278" s="22">
        <v>31210.42</v>
      </c>
      <c r="P278" s="37">
        <v>30831.360000000001</v>
      </c>
      <c r="Q278" s="22">
        <v>32302.13</v>
      </c>
      <c r="R278" s="37">
        <v>31904.48</v>
      </c>
      <c r="S278" s="22">
        <v>40315.300000000003</v>
      </c>
      <c r="T278" s="37">
        <v>39823.160000000003</v>
      </c>
      <c r="U278" s="22">
        <v>35057.01</v>
      </c>
      <c r="V278" s="37">
        <v>34624.5</v>
      </c>
      <c r="W278" s="22">
        <v>109655.2</v>
      </c>
      <c r="X278" s="37">
        <v>108330.3</v>
      </c>
      <c r="Y278" s="22">
        <v>50297.51</v>
      </c>
      <c r="Z278" s="37">
        <v>49684.89</v>
      </c>
      <c r="AB278" s="261">
        <v>489365.33</v>
      </c>
    </row>
    <row r="279" spans="1:28" s="260" customFormat="1" x14ac:dyDescent="0.2">
      <c r="A279" s="9" t="s">
        <v>58</v>
      </c>
      <c r="B279" s="9"/>
      <c r="C279" s="70">
        <v>21967.38</v>
      </c>
      <c r="D279" s="37">
        <v>21692.68</v>
      </c>
      <c r="E279" s="70">
        <v>26933.63</v>
      </c>
      <c r="F279" s="37">
        <v>26599.15</v>
      </c>
      <c r="G279" s="70">
        <v>12882.7</v>
      </c>
      <c r="H279" s="37">
        <v>12722.6</v>
      </c>
      <c r="I279" s="22">
        <v>15510.16</v>
      </c>
      <c r="J279" s="37">
        <v>15319.39</v>
      </c>
      <c r="K279" s="22">
        <v>21751.03</v>
      </c>
      <c r="L279" s="37">
        <v>21479.1</v>
      </c>
      <c r="M279" s="22">
        <v>15183.84</v>
      </c>
      <c r="N279" s="37">
        <v>14997.13</v>
      </c>
      <c r="O279" s="22">
        <v>18077.84</v>
      </c>
      <c r="P279" s="37">
        <v>17858.28</v>
      </c>
      <c r="Q279" s="22">
        <v>73988.92</v>
      </c>
      <c r="R279" s="37">
        <v>73078.09</v>
      </c>
      <c r="S279" s="22">
        <v>19541.060000000001</v>
      </c>
      <c r="T279" s="37">
        <v>19302.52</v>
      </c>
      <c r="U279" s="22">
        <v>13910.36</v>
      </c>
      <c r="V279" s="37">
        <v>13738.74</v>
      </c>
      <c r="W279" s="22">
        <v>58094.42</v>
      </c>
      <c r="X279" s="37">
        <v>57392.5</v>
      </c>
      <c r="Y279" s="22">
        <v>25605.03</v>
      </c>
      <c r="Z279" s="37">
        <v>25293.16</v>
      </c>
      <c r="AB279" s="261">
        <v>294180.18</v>
      </c>
    </row>
    <row r="280" spans="1:28" s="260" customFormat="1" x14ac:dyDescent="0.2">
      <c r="A280" s="9" t="s">
        <v>59</v>
      </c>
      <c r="B280" s="9"/>
      <c r="C280" s="22">
        <v>310008.33</v>
      </c>
      <c r="D280" s="37">
        <v>306131.7</v>
      </c>
      <c r="E280" s="70">
        <v>442493.48</v>
      </c>
      <c r="F280" s="37">
        <v>436998.31</v>
      </c>
      <c r="G280" s="70">
        <v>398097</v>
      </c>
      <c r="H280" s="37">
        <v>393149.75</v>
      </c>
      <c r="I280" s="22">
        <v>368656.08</v>
      </c>
      <c r="J280" s="37">
        <v>364121.65</v>
      </c>
      <c r="K280" s="22">
        <v>376036.15</v>
      </c>
      <c r="L280" s="37">
        <v>371334.9</v>
      </c>
      <c r="M280" s="22">
        <v>348724.42</v>
      </c>
      <c r="N280" s="37">
        <v>344436.36</v>
      </c>
      <c r="O280" s="22">
        <v>299828.27</v>
      </c>
      <c r="P280" s="37">
        <v>296186.78999999998</v>
      </c>
      <c r="Q280" s="22">
        <v>375573.62</v>
      </c>
      <c r="R280" s="37">
        <v>370950.19</v>
      </c>
      <c r="S280" s="22">
        <v>365248.73</v>
      </c>
      <c r="T280" s="37">
        <v>360790.03</v>
      </c>
      <c r="U280" s="22">
        <v>345881.44</v>
      </c>
      <c r="V280" s="37">
        <v>341614.21</v>
      </c>
      <c r="W280" s="22">
        <v>342526.73</v>
      </c>
      <c r="X280" s="37">
        <v>338388.19</v>
      </c>
      <c r="Y280" s="22">
        <v>383299.38</v>
      </c>
      <c r="Z280" s="37">
        <v>378630.84</v>
      </c>
      <c r="AB280" s="261">
        <v>3924102.0799999996</v>
      </c>
    </row>
    <row r="281" spans="1:28" s="260" customFormat="1" x14ac:dyDescent="0.2">
      <c r="A281" s="9" t="s">
        <v>60</v>
      </c>
      <c r="B281" s="9"/>
      <c r="C281" s="22">
        <v>24587.39</v>
      </c>
      <c r="D281" s="37">
        <v>24279.93</v>
      </c>
      <c r="E281" s="70">
        <v>49454.38</v>
      </c>
      <c r="F281" s="37">
        <v>48840.22</v>
      </c>
      <c r="G281" s="70">
        <v>37514.86</v>
      </c>
      <c r="H281" s="37">
        <v>37048.65</v>
      </c>
      <c r="I281" s="22">
        <v>34105.97</v>
      </c>
      <c r="J281" s="37">
        <v>33686.47</v>
      </c>
      <c r="K281" s="22">
        <v>24558.11</v>
      </c>
      <c r="L281" s="37">
        <v>24251.08</v>
      </c>
      <c r="M281" s="22">
        <v>23577.08</v>
      </c>
      <c r="N281" s="37">
        <v>23287.17</v>
      </c>
      <c r="O281" s="22">
        <v>32197.53</v>
      </c>
      <c r="P281" s="37">
        <v>31806.48</v>
      </c>
      <c r="Q281" s="22">
        <v>51906.18</v>
      </c>
      <c r="R281" s="37">
        <v>51267.199999999997</v>
      </c>
      <c r="S281" s="22">
        <v>34443.879999999997</v>
      </c>
      <c r="T281" s="37">
        <v>34023.410000000003</v>
      </c>
      <c r="U281" s="22">
        <v>22276.400000000001</v>
      </c>
      <c r="V281" s="37">
        <v>22001.57</v>
      </c>
      <c r="W281" s="22">
        <v>45052.47</v>
      </c>
      <c r="X281" s="37">
        <v>44508.13</v>
      </c>
      <c r="Y281" s="22">
        <v>23883.35</v>
      </c>
      <c r="Z281" s="37">
        <v>23592.45</v>
      </c>
      <c r="AB281" s="261">
        <v>375000.31</v>
      </c>
    </row>
    <row r="282" spans="1:28" s="260" customFormat="1" x14ac:dyDescent="0.2">
      <c r="A282" s="9" t="s">
        <v>61</v>
      </c>
      <c r="B282" s="9"/>
      <c r="C282" s="22">
        <v>894829.97</v>
      </c>
      <c r="D282" s="37">
        <v>883640.2</v>
      </c>
      <c r="E282" s="70">
        <v>824338.06</v>
      </c>
      <c r="F282" s="37">
        <v>814100.89</v>
      </c>
      <c r="G282" s="70">
        <v>989387.54</v>
      </c>
      <c r="H282" s="37">
        <v>977092.17</v>
      </c>
      <c r="I282" s="22">
        <v>1056251.43</v>
      </c>
      <c r="J282" s="37">
        <v>1043259.66</v>
      </c>
      <c r="K282" s="22">
        <v>868235.91</v>
      </c>
      <c r="L282" s="37">
        <v>857381.12</v>
      </c>
      <c r="M282" s="22">
        <v>861668.14</v>
      </c>
      <c r="N282" s="37">
        <v>851072.72</v>
      </c>
      <c r="O282" s="22">
        <v>615822.29</v>
      </c>
      <c r="P282" s="37">
        <v>608343</v>
      </c>
      <c r="Q282" s="22">
        <v>733029.41</v>
      </c>
      <c r="R282" s="37">
        <v>724005.59</v>
      </c>
      <c r="S282" s="22">
        <v>586305.93999999994</v>
      </c>
      <c r="T282" s="37">
        <v>579148.73</v>
      </c>
      <c r="U282" s="22">
        <v>598790.13</v>
      </c>
      <c r="V282" s="37">
        <v>591402.69999999995</v>
      </c>
      <c r="W282" s="22">
        <v>745552.27</v>
      </c>
      <c r="X282" s="37">
        <v>736544.22</v>
      </c>
      <c r="Y282" s="22">
        <v>767757.81</v>
      </c>
      <c r="Z282" s="37">
        <v>758406.61</v>
      </c>
      <c r="AB282" s="261">
        <v>8665991</v>
      </c>
    </row>
    <row r="283" spans="1:28" s="260" customFormat="1" x14ac:dyDescent="0.2">
      <c r="A283" s="9" t="s">
        <v>65</v>
      </c>
      <c r="B283" s="9"/>
      <c r="C283" s="22">
        <v>790075.51</v>
      </c>
      <c r="D283" s="37">
        <v>780195.69</v>
      </c>
      <c r="E283" s="70">
        <v>938293.28</v>
      </c>
      <c r="F283" s="37">
        <v>926640.94</v>
      </c>
      <c r="G283" s="70">
        <v>818599.73</v>
      </c>
      <c r="H283" s="37">
        <v>808426.78</v>
      </c>
      <c r="I283" s="22">
        <v>748838.29</v>
      </c>
      <c r="J283" s="37">
        <v>739627.67</v>
      </c>
      <c r="K283" s="22">
        <v>758488.6</v>
      </c>
      <c r="L283" s="37">
        <v>749005.88</v>
      </c>
      <c r="M283" s="22">
        <v>630751.51</v>
      </c>
      <c r="N283" s="37">
        <v>622995.54</v>
      </c>
      <c r="O283" s="22">
        <v>615395.97</v>
      </c>
      <c r="P283" s="37">
        <v>607921.86</v>
      </c>
      <c r="Q283" s="22">
        <v>822479.24</v>
      </c>
      <c r="R283" s="37">
        <v>812354.26</v>
      </c>
      <c r="S283" s="22">
        <v>586214.94999999995</v>
      </c>
      <c r="T283" s="37">
        <v>579058.85</v>
      </c>
      <c r="U283" s="22">
        <v>600230.71</v>
      </c>
      <c r="V283" s="37">
        <v>592825.51</v>
      </c>
      <c r="W283" s="22">
        <v>752087.81</v>
      </c>
      <c r="X283" s="37">
        <v>743000.8</v>
      </c>
      <c r="Y283" s="22">
        <v>628976.29</v>
      </c>
      <c r="Z283" s="37">
        <v>621315.43000000005</v>
      </c>
      <c r="AB283" s="261">
        <v>7962053.7799999993</v>
      </c>
    </row>
    <row r="284" spans="1:28" s="260" customFormat="1" x14ac:dyDescent="0.2">
      <c r="A284" s="9" t="s">
        <v>62</v>
      </c>
      <c r="B284" s="9"/>
      <c r="C284" s="22">
        <v>0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7">
        <v>0</v>
      </c>
      <c r="T284" s="37">
        <v>0</v>
      </c>
      <c r="U284" s="22">
        <v>0</v>
      </c>
      <c r="V284" s="37">
        <v>0</v>
      </c>
      <c r="W284" s="22">
        <v>0</v>
      </c>
      <c r="X284" s="37">
        <v>0</v>
      </c>
      <c r="Y284" s="22">
        <v>0</v>
      </c>
      <c r="Z284" s="37">
        <v>0</v>
      </c>
      <c r="AB284" s="261">
        <v>0</v>
      </c>
    </row>
    <row r="285" spans="1:28" s="260" customFormat="1" x14ac:dyDescent="0.2">
      <c r="A285" s="9" t="s">
        <v>93</v>
      </c>
      <c r="B285" s="9"/>
      <c r="C285" s="22">
        <v>31234.15</v>
      </c>
      <c r="D285" s="37">
        <v>30843.56</v>
      </c>
      <c r="E285" s="70">
        <v>49328.070000000007</v>
      </c>
      <c r="F285" s="37">
        <v>48715.47</v>
      </c>
      <c r="G285" s="70">
        <v>43444.35</v>
      </c>
      <c r="H285" s="37">
        <v>42904.479999999996</v>
      </c>
      <c r="I285" s="22">
        <v>38727.29</v>
      </c>
      <c r="J285" s="37">
        <v>38250.939999999995</v>
      </c>
      <c r="K285" s="22">
        <v>34867.06</v>
      </c>
      <c r="L285" s="37">
        <v>34431.120000000003</v>
      </c>
      <c r="M285" s="22">
        <v>20306.43</v>
      </c>
      <c r="N285" s="37">
        <v>20056.73</v>
      </c>
      <c r="O285" s="22">
        <v>32095.71</v>
      </c>
      <c r="P285" s="37">
        <v>31705.93</v>
      </c>
      <c r="Q285" s="22">
        <v>26829.109999999997</v>
      </c>
      <c r="R285" s="37">
        <v>26498.84</v>
      </c>
      <c r="S285" s="22">
        <v>16666.98</v>
      </c>
      <c r="T285" s="37">
        <v>16463.54</v>
      </c>
      <c r="U285" s="22">
        <v>18489.39</v>
      </c>
      <c r="V285" s="37">
        <v>18261.289999999997</v>
      </c>
      <c r="W285" s="22">
        <v>53925.39</v>
      </c>
      <c r="X285" s="37">
        <v>53273.85</v>
      </c>
      <c r="Y285" s="22">
        <v>20242.75</v>
      </c>
      <c r="Z285" s="37">
        <v>19996.2</v>
      </c>
      <c r="AB285" s="261">
        <v>361405.74999999994</v>
      </c>
    </row>
    <row r="286" spans="1:28" s="260" customFormat="1" x14ac:dyDescent="0.2">
      <c r="A286" s="9" t="s">
        <v>67</v>
      </c>
      <c r="B286" s="9"/>
      <c r="C286" s="22">
        <v>967777.42999999993</v>
      </c>
      <c r="D286" s="37">
        <v>955675.46</v>
      </c>
      <c r="E286" s="70">
        <v>892474.45000000007</v>
      </c>
      <c r="F286" s="37">
        <v>881391.12</v>
      </c>
      <c r="G286" s="70">
        <v>867069.3</v>
      </c>
      <c r="H286" s="37">
        <v>856294.01</v>
      </c>
      <c r="I286" s="22">
        <v>930054.81</v>
      </c>
      <c r="J286" s="37">
        <v>918615.24</v>
      </c>
      <c r="K286" s="22">
        <v>782281.61</v>
      </c>
      <c r="L286" s="37">
        <v>772501.43</v>
      </c>
      <c r="M286" s="22">
        <v>869053.25</v>
      </c>
      <c r="N286" s="37">
        <v>858367.02</v>
      </c>
      <c r="O286" s="22">
        <v>876817.36</v>
      </c>
      <c r="P286" s="37">
        <v>866168.23</v>
      </c>
      <c r="Q286" s="22">
        <v>988418.75</v>
      </c>
      <c r="R286" s="37">
        <v>976251</v>
      </c>
      <c r="S286" s="22">
        <v>798431.86</v>
      </c>
      <c r="T286" s="37">
        <v>788685.17</v>
      </c>
      <c r="U286" s="22">
        <v>727073.84000000008</v>
      </c>
      <c r="V286" s="37">
        <v>718103.75</v>
      </c>
      <c r="W286" s="22">
        <v>970938.92</v>
      </c>
      <c r="X286" s="37">
        <v>959207.67</v>
      </c>
      <c r="Y286" s="22">
        <v>870760.64</v>
      </c>
      <c r="Z286" s="37">
        <v>860154.87</v>
      </c>
      <c r="AB286" s="261">
        <v>9551260.0999999996</v>
      </c>
    </row>
    <row r="287" spans="1:28" s="260" customFormat="1" x14ac:dyDescent="0.2">
      <c r="A287" s="9" t="s">
        <v>97</v>
      </c>
      <c r="B287" s="9"/>
      <c r="C287" s="115">
        <v>27559.040000000001</v>
      </c>
      <c r="D287" s="37">
        <v>27214.42</v>
      </c>
      <c r="E287" s="71">
        <v>30537.1</v>
      </c>
      <c r="F287" s="37">
        <v>30157.87</v>
      </c>
      <c r="G287" s="71">
        <v>29965.759999999998</v>
      </c>
      <c r="H287" s="37">
        <v>29593.37</v>
      </c>
      <c r="I287" s="115">
        <v>29241.14</v>
      </c>
      <c r="J287" s="37">
        <v>28881.48</v>
      </c>
      <c r="K287" s="115">
        <v>28628.75</v>
      </c>
      <c r="L287" s="37">
        <v>28270.83</v>
      </c>
      <c r="M287" s="22">
        <v>27322.6</v>
      </c>
      <c r="N287" s="37">
        <v>26986.63</v>
      </c>
      <c r="O287" s="22">
        <v>21374.39</v>
      </c>
      <c r="P287" s="37">
        <v>21114.79</v>
      </c>
      <c r="Q287" s="22">
        <v>26844.17</v>
      </c>
      <c r="R287" s="37">
        <v>26513.71</v>
      </c>
      <c r="S287" s="107">
        <v>20234.43</v>
      </c>
      <c r="T287" s="37">
        <v>19987.419999999998</v>
      </c>
      <c r="U287" s="22">
        <v>20203.330000000002</v>
      </c>
      <c r="V287" s="37">
        <v>19954.080000000002</v>
      </c>
      <c r="W287" s="107">
        <v>22715.91</v>
      </c>
      <c r="X287" s="37">
        <v>22441.45</v>
      </c>
      <c r="Y287" s="107">
        <v>21704.65</v>
      </c>
      <c r="Z287" s="37">
        <v>21440.29</v>
      </c>
      <c r="AB287" s="261">
        <v>281116.05</v>
      </c>
    </row>
    <row r="288" spans="1:28" s="260" customFormat="1" x14ac:dyDescent="0.2">
      <c r="A288" s="263" t="s">
        <v>44</v>
      </c>
      <c r="B288" s="9"/>
      <c r="C288" s="34">
        <v>7488237.0999999996</v>
      </c>
      <c r="D288" s="34">
        <v>7394597.3899999987</v>
      </c>
      <c r="E288" s="34">
        <v>8116710.4700000007</v>
      </c>
      <c r="F288" s="72">
        <v>8015911.8299999991</v>
      </c>
      <c r="G288" s="34">
        <v>7948371.6200000001</v>
      </c>
      <c r="H288" s="72">
        <v>7849595.1900000004</v>
      </c>
      <c r="I288" s="72">
        <v>7849717.4699999997</v>
      </c>
      <c r="J288" s="72">
        <v>7753166.8600000013</v>
      </c>
      <c r="K288" s="72">
        <v>7578459.5000000009</v>
      </c>
      <c r="L288" s="72">
        <v>7483712.6499999994</v>
      </c>
      <c r="M288" s="72">
        <v>7335954.3699999982</v>
      </c>
      <c r="N288" s="34">
        <v>7245748.5300000003</v>
      </c>
      <c r="O288" s="72">
        <v>6735569.8200000003</v>
      </c>
      <c r="P288" s="34">
        <v>6653764.9300000006</v>
      </c>
      <c r="Q288" s="72">
        <v>8332801.9900000002</v>
      </c>
      <c r="R288" s="34">
        <v>8230222.5500000017</v>
      </c>
      <c r="S288" s="22">
        <v>6355764.7100000009</v>
      </c>
      <c r="T288" s="34">
        <v>6278178.0499999998</v>
      </c>
      <c r="U288" s="34">
        <v>6258758.1200000001</v>
      </c>
      <c r="V288" s="34">
        <v>6181542.2300000004</v>
      </c>
      <c r="W288" s="34">
        <v>7240280.330000001</v>
      </c>
      <c r="X288" s="34">
        <v>7152800.5099999998</v>
      </c>
      <c r="Y288" s="34">
        <v>6837385.129999999</v>
      </c>
      <c r="Z288" s="34">
        <v>6754106.540000001</v>
      </c>
      <c r="AB288" s="261">
        <v>80239240.719999999</v>
      </c>
    </row>
    <row r="289" spans="1:29" s="36" customFormat="1" x14ac:dyDescent="0.2">
      <c r="A289" s="264" t="s">
        <v>45</v>
      </c>
      <c r="C289" s="35">
        <v>-93639.71</v>
      </c>
      <c r="E289" s="73">
        <v>-100798.64</v>
      </c>
      <c r="F289" s="74"/>
      <c r="G289" s="73">
        <v>-98776.43</v>
      </c>
      <c r="H289" s="74"/>
      <c r="I289" s="35">
        <v>-96550.61</v>
      </c>
      <c r="K289" s="35">
        <v>-94746.85</v>
      </c>
      <c r="M289" s="35">
        <v>-90205.84</v>
      </c>
      <c r="O289" s="35">
        <v>-81804.89</v>
      </c>
      <c r="Q289" s="35">
        <v>-102579.44</v>
      </c>
      <c r="S289" s="35">
        <v>-77586.66</v>
      </c>
      <c r="U289" s="35">
        <v>-77215.89</v>
      </c>
      <c r="W289" s="35">
        <v>-87479.82</v>
      </c>
      <c r="Y289" s="35">
        <v>-83278.59</v>
      </c>
    </row>
    <row r="290" spans="1:29" x14ac:dyDescent="0.2">
      <c r="A290" s="263" t="s">
        <v>27</v>
      </c>
      <c r="C290" s="22">
        <v>7394597.3899999997</v>
      </c>
      <c r="D290" s="22"/>
      <c r="E290" s="22">
        <v>8015911.830000001</v>
      </c>
      <c r="F290" s="70"/>
      <c r="G290" s="22">
        <v>7849595.1900000004</v>
      </c>
      <c r="H290" s="70"/>
      <c r="I290" s="22">
        <v>7753166.8599999994</v>
      </c>
      <c r="J290" s="22"/>
      <c r="K290" s="22">
        <v>7483712.6500000013</v>
      </c>
      <c r="L290" s="22"/>
      <c r="M290" s="22">
        <v>7245748.5299999984</v>
      </c>
      <c r="N290" s="22"/>
      <c r="O290" s="22">
        <v>6653764.9300000006</v>
      </c>
      <c r="P290" s="22"/>
      <c r="Q290" s="22">
        <v>8230222.5499999998</v>
      </c>
      <c r="R290" s="22"/>
      <c r="S290" s="22">
        <v>6278178.0500000007</v>
      </c>
      <c r="T290" s="22"/>
      <c r="U290" s="22">
        <v>6181542.2300000004</v>
      </c>
      <c r="V290" s="22"/>
      <c r="W290" s="22">
        <v>7152800.5100000007</v>
      </c>
      <c r="X290" s="22"/>
      <c r="Y290" s="22">
        <v>6754106.5399999991</v>
      </c>
      <c r="Z290" s="22"/>
    </row>
    <row r="291" spans="1:29" x14ac:dyDescent="0.2">
      <c r="C291" s="22">
        <v>7394597.3899999997</v>
      </c>
      <c r="E291" s="40">
        <v>8015911.8300000001</v>
      </c>
      <c r="F291" s="40"/>
      <c r="G291" s="40">
        <v>7849595.1900000004</v>
      </c>
      <c r="H291" s="40"/>
      <c r="K291" s="37">
        <v>7483712.6500000004</v>
      </c>
      <c r="M291" s="37">
        <v>7245748.5300000003</v>
      </c>
      <c r="O291" s="48">
        <v>6653764.9299999997</v>
      </c>
      <c r="Q291" s="37">
        <v>8230222.5499999998</v>
      </c>
      <c r="S291" s="37">
        <v>6278178.0499999998</v>
      </c>
      <c r="U291" s="37">
        <v>6181542.2300000004</v>
      </c>
      <c r="W291" s="37">
        <v>7152800.5099999998</v>
      </c>
      <c r="Y291" s="37">
        <v>6754106.54</v>
      </c>
    </row>
    <row r="292" spans="1:29" x14ac:dyDescent="0.2">
      <c r="A292" s="9" t="s">
        <v>92</v>
      </c>
      <c r="C292" s="22"/>
      <c r="E292" s="40"/>
      <c r="F292" s="40"/>
      <c r="G292" s="40"/>
      <c r="H292" s="40"/>
      <c r="K292" s="37">
        <v>0</v>
      </c>
      <c r="M292" s="37">
        <v>0</v>
      </c>
      <c r="O292" s="37">
        <v>0</v>
      </c>
      <c r="Q292" s="37">
        <v>0</v>
      </c>
      <c r="S292" s="37">
        <v>0</v>
      </c>
      <c r="U292" s="37">
        <v>0</v>
      </c>
      <c r="W292" s="37">
        <v>0</v>
      </c>
      <c r="X292" s="37">
        <v>0</v>
      </c>
      <c r="Y292" s="37">
        <v>0</v>
      </c>
    </row>
    <row r="293" spans="1:29" s="60" customFormat="1" x14ac:dyDescent="0.2">
      <c r="C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</row>
    <row r="294" spans="1:29" s="60" customFormat="1" x14ac:dyDescent="0.2">
      <c r="A294" s="60" t="s">
        <v>17</v>
      </c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</row>
    <row r="295" spans="1:29" x14ac:dyDescent="0.2">
      <c r="A295" s="9" t="s">
        <v>17</v>
      </c>
      <c r="G295" s="40"/>
      <c r="I295" s="40"/>
    </row>
    <row r="296" spans="1:29" x14ac:dyDescent="0.2">
      <c r="A296" s="9" t="s">
        <v>0</v>
      </c>
      <c r="E296" s="40"/>
      <c r="F296" s="40"/>
      <c r="G296" s="40"/>
      <c r="H296" s="40"/>
      <c r="AB296" s="22"/>
    </row>
    <row r="297" spans="1:29" x14ac:dyDescent="0.2">
      <c r="A297" s="9" t="s">
        <v>83</v>
      </c>
      <c r="E297" s="40"/>
      <c r="F297" s="40"/>
      <c r="G297" s="40"/>
      <c r="H297" s="40"/>
      <c r="AB297" s="22"/>
    </row>
    <row r="298" spans="1:29" ht="15" x14ac:dyDescent="0.2">
      <c r="A298" s="20" t="s">
        <v>108</v>
      </c>
      <c r="E298" s="47"/>
      <c r="F298" s="47"/>
      <c r="G298" s="47"/>
      <c r="AB298" s="22"/>
    </row>
    <row r="299" spans="1:29" ht="15" x14ac:dyDescent="0.2">
      <c r="E299" s="47"/>
      <c r="F299" s="47"/>
      <c r="G299" s="47"/>
      <c r="AB299" s="22"/>
    </row>
    <row r="300" spans="1:29" s="259" customFormat="1" x14ac:dyDescent="0.2">
      <c r="C300" s="38" t="s">
        <v>28</v>
      </c>
      <c r="D300" s="38" t="s">
        <v>29</v>
      </c>
      <c r="E300" s="38" t="s">
        <v>28</v>
      </c>
      <c r="F300" s="38" t="s">
        <v>29</v>
      </c>
      <c r="G300" s="38" t="s">
        <v>28</v>
      </c>
      <c r="H300" s="38" t="s">
        <v>29</v>
      </c>
      <c r="I300" s="38" t="s">
        <v>28</v>
      </c>
      <c r="J300" s="38" t="s">
        <v>29</v>
      </c>
      <c r="K300" s="38" t="s">
        <v>28</v>
      </c>
      <c r="L300" s="38" t="s">
        <v>29</v>
      </c>
      <c r="M300" s="38" t="s">
        <v>28</v>
      </c>
      <c r="N300" s="38" t="s">
        <v>29</v>
      </c>
      <c r="O300" s="38" t="s">
        <v>28</v>
      </c>
      <c r="P300" s="38" t="s">
        <v>29</v>
      </c>
      <c r="Q300" s="38" t="s">
        <v>28</v>
      </c>
      <c r="R300" s="38" t="s">
        <v>29</v>
      </c>
      <c r="S300" s="38" t="s">
        <v>28</v>
      </c>
      <c r="T300" s="38" t="s">
        <v>29</v>
      </c>
      <c r="U300" s="38" t="s">
        <v>28</v>
      </c>
      <c r="V300" s="38" t="s">
        <v>29</v>
      </c>
      <c r="W300" s="38" t="s">
        <v>28</v>
      </c>
      <c r="X300" s="38" t="s">
        <v>29</v>
      </c>
      <c r="Y300" s="38" t="s">
        <v>28</v>
      </c>
      <c r="Z300" s="38" t="s">
        <v>29</v>
      </c>
      <c r="AA300" s="38"/>
      <c r="AB300" s="269"/>
    </row>
    <row r="301" spans="1:29" x14ac:dyDescent="0.2">
      <c r="A301" s="9" t="s">
        <v>30</v>
      </c>
      <c r="C301" s="37"/>
      <c r="D301" s="38" t="s">
        <v>84</v>
      </c>
      <c r="F301" s="38" t="s">
        <v>84</v>
      </c>
      <c r="H301" s="38" t="s">
        <v>84</v>
      </c>
      <c r="J301" s="38" t="s">
        <v>84</v>
      </c>
      <c r="L301" s="38" t="s">
        <v>84</v>
      </c>
      <c r="N301" s="38" t="s">
        <v>84</v>
      </c>
      <c r="P301" s="38" t="s">
        <v>84</v>
      </c>
      <c r="R301" s="38" t="s">
        <v>84</v>
      </c>
      <c r="T301" s="38" t="s">
        <v>84</v>
      </c>
      <c r="V301" s="38" t="s">
        <v>84</v>
      </c>
      <c r="X301" s="38" t="s">
        <v>84</v>
      </c>
      <c r="Z301" s="38" t="s">
        <v>84</v>
      </c>
      <c r="AB301" s="22"/>
      <c r="AC301" s="22"/>
    </row>
    <row r="302" spans="1:29" s="24" customFormat="1" x14ac:dyDescent="0.2">
      <c r="C302" s="49" t="s">
        <v>32</v>
      </c>
      <c r="D302" s="26" t="s">
        <v>31</v>
      </c>
      <c r="E302" s="49" t="s">
        <v>33</v>
      </c>
      <c r="F302" s="26" t="s">
        <v>31</v>
      </c>
      <c r="G302" s="49" t="s">
        <v>34</v>
      </c>
      <c r="H302" s="26" t="s">
        <v>31</v>
      </c>
      <c r="I302" s="49" t="s">
        <v>35</v>
      </c>
      <c r="J302" s="26" t="s">
        <v>31</v>
      </c>
      <c r="K302" s="49" t="s">
        <v>36</v>
      </c>
      <c r="L302" s="26" t="s">
        <v>31</v>
      </c>
      <c r="M302" s="26" t="s">
        <v>37</v>
      </c>
      <c r="N302" s="26" t="s">
        <v>31</v>
      </c>
      <c r="O302" s="26" t="s">
        <v>38</v>
      </c>
      <c r="P302" s="26" t="s">
        <v>31</v>
      </c>
      <c r="Q302" s="26" t="s">
        <v>39</v>
      </c>
      <c r="R302" s="26" t="s">
        <v>31</v>
      </c>
      <c r="S302" s="26" t="s">
        <v>40</v>
      </c>
      <c r="T302" s="26" t="s">
        <v>31</v>
      </c>
      <c r="U302" s="26" t="s">
        <v>41</v>
      </c>
      <c r="V302" s="26" t="s">
        <v>31</v>
      </c>
      <c r="W302" s="26" t="s">
        <v>42</v>
      </c>
      <c r="X302" s="26" t="s">
        <v>31</v>
      </c>
      <c r="Y302" s="26" t="s">
        <v>43</v>
      </c>
      <c r="Z302" s="26" t="s">
        <v>31</v>
      </c>
      <c r="AA302" s="26"/>
      <c r="AB302" s="270"/>
      <c r="AC302" s="270"/>
    </row>
    <row r="303" spans="1:29" s="260" customFormat="1" x14ac:dyDescent="0.2">
      <c r="A303" s="9" t="s">
        <v>48</v>
      </c>
      <c r="B303" s="9"/>
      <c r="C303" s="22">
        <v>70387.060000000012</v>
      </c>
      <c r="D303" s="37">
        <v>69550.899999999994</v>
      </c>
      <c r="E303" s="70">
        <v>57347.03</v>
      </c>
      <c r="F303" s="37">
        <v>56665.36</v>
      </c>
      <c r="G303" s="70">
        <v>44026.520000000004</v>
      </c>
      <c r="H303" s="37">
        <v>43505.37</v>
      </c>
      <c r="I303" s="22">
        <v>34445.760000000002</v>
      </c>
      <c r="J303" s="37">
        <v>34037.129999999997</v>
      </c>
      <c r="K303" s="22">
        <v>30907.339999999997</v>
      </c>
      <c r="L303" s="37">
        <v>30546.93</v>
      </c>
      <c r="M303" s="34">
        <v>27912.81</v>
      </c>
      <c r="N303" s="37">
        <v>27581.38</v>
      </c>
      <c r="O303" s="34">
        <v>24608.48</v>
      </c>
      <c r="P303" s="37">
        <v>24315.32</v>
      </c>
      <c r="Q303" s="22">
        <v>25819.52</v>
      </c>
      <c r="R303" s="37">
        <v>25513.31</v>
      </c>
      <c r="S303" s="22">
        <v>19022.260000000002</v>
      </c>
      <c r="T303" s="37">
        <v>18797.61</v>
      </c>
      <c r="U303" s="22">
        <v>16146.759999999998</v>
      </c>
      <c r="V303" s="37">
        <v>15958.06</v>
      </c>
      <c r="W303" s="22">
        <v>30516.19</v>
      </c>
      <c r="X303" s="37">
        <v>30284.51</v>
      </c>
      <c r="Y303" s="22">
        <v>48928.53</v>
      </c>
      <c r="Z303" s="37">
        <v>48365.43</v>
      </c>
      <c r="AB303" s="22">
        <f t="shared" ref="AB303:AB323" si="276">+D303+F303+H303+J303+L303+N303+P303+R303+T303+V303+X303+Z303</f>
        <v>425121.31</v>
      </c>
      <c r="AC303" s="22">
        <f t="shared" ref="AC303:AC323" si="277">+C303+E303+G303+I303+K303+M303+O303+Q303+S303+U303+W303+Y303</f>
        <v>430068.26</v>
      </c>
    </row>
    <row r="304" spans="1:29" s="260" customFormat="1" x14ac:dyDescent="0.2">
      <c r="A304" s="9" t="s">
        <v>22</v>
      </c>
      <c r="B304" s="9"/>
      <c r="C304" s="22">
        <v>0</v>
      </c>
      <c r="D304" s="37">
        <v>0</v>
      </c>
      <c r="E304" s="70">
        <v>60.22</v>
      </c>
      <c r="F304" s="37">
        <v>59.5</v>
      </c>
      <c r="G304" s="70">
        <v>0</v>
      </c>
      <c r="H304" s="37">
        <v>0</v>
      </c>
      <c r="I304" s="22">
        <v>0</v>
      </c>
      <c r="J304" s="37">
        <v>0</v>
      </c>
      <c r="K304" s="22">
        <v>0</v>
      </c>
      <c r="L304" s="37">
        <v>0</v>
      </c>
      <c r="M304" s="22">
        <v>0</v>
      </c>
      <c r="N304" s="37">
        <v>0</v>
      </c>
      <c r="O304" s="22">
        <v>0</v>
      </c>
      <c r="P304" s="37">
        <v>0</v>
      </c>
      <c r="Q304" s="22">
        <v>0</v>
      </c>
      <c r="R304" s="37">
        <v>0</v>
      </c>
      <c r="S304" s="22">
        <v>53.48</v>
      </c>
      <c r="T304" s="37">
        <v>52.85</v>
      </c>
      <c r="U304" s="22">
        <v>0</v>
      </c>
      <c r="V304" s="37">
        <v>0</v>
      </c>
      <c r="W304" s="22">
        <v>0</v>
      </c>
      <c r="X304" s="37">
        <v>0</v>
      </c>
      <c r="Y304" s="22">
        <v>0</v>
      </c>
      <c r="Z304" s="37">
        <v>0</v>
      </c>
      <c r="AB304" s="22">
        <f t="shared" si="276"/>
        <v>112.35</v>
      </c>
      <c r="AC304" s="22">
        <f t="shared" si="277"/>
        <v>113.69999999999999</v>
      </c>
    </row>
    <row r="305" spans="1:29" s="260" customFormat="1" x14ac:dyDescent="0.2">
      <c r="A305" s="9" t="s">
        <v>49</v>
      </c>
      <c r="B305" s="9"/>
      <c r="C305" s="22">
        <v>164099.76999999999</v>
      </c>
      <c r="D305" s="37">
        <v>162150.35</v>
      </c>
      <c r="E305" s="70">
        <v>143153.82999999999</v>
      </c>
      <c r="F305" s="37">
        <v>141452.19</v>
      </c>
      <c r="G305" s="70">
        <v>142763.19</v>
      </c>
      <c r="H305" s="37">
        <v>141073.26999999999</v>
      </c>
      <c r="I305" s="22">
        <v>146242.01999999999</v>
      </c>
      <c r="J305" s="37">
        <v>144507.13</v>
      </c>
      <c r="K305" s="22">
        <v>140167.01</v>
      </c>
      <c r="L305" s="37">
        <v>138532.51</v>
      </c>
      <c r="M305" s="22">
        <v>139099.87</v>
      </c>
      <c r="N305" s="37">
        <v>137448.25</v>
      </c>
      <c r="O305" s="22">
        <v>166299.63</v>
      </c>
      <c r="P305" s="37">
        <v>164318.53</v>
      </c>
      <c r="Q305" s="22">
        <v>237590.55</v>
      </c>
      <c r="R305" s="37">
        <v>234772.83</v>
      </c>
      <c r="S305" s="22">
        <v>312926.58</v>
      </c>
      <c r="T305" s="37">
        <v>309231</v>
      </c>
      <c r="U305" s="22">
        <v>293599.57</v>
      </c>
      <c r="V305" s="37">
        <v>290168.46999999997</v>
      </c>
      <c r="W305" s="22">
        <v>248045.01</v>
      </c>
      <c r="X305" s="37">
        <v>246161.82</v>
      </c>
      <c r="Y305" s="22">
        <v>205536.98</v>
      </c>
      <c r="Z305" s="37">
        <v>203171.53</v>
      </c>
      <c r="AB305" s="22">
        <f t="shared" si="276"/>
        <v>2312987.88</v>
      </c>
      <c r="AC305" s="22">
        <f t="shared" si="277"/>
        <v>2339524.0100000002</v>
      </c>
    </row>
    <row r="306" spans="1:29" s="260" customFormat="1" x14ac:dyDescent="0.2">
      <c r="A306" s="9" t="s">
        <v>23</v>
      </c>
      <c r="B306" s="9"/>
      <c r="C306" s="22">
        <v>1119059.06</v>
      </c>
      <c r="D306" s="37">
        <v>1105765.24</v>
      </c>
      <c r="E306" s="70">
        <v>1477577.5299999998</v>
      </c>
      <c r="F306" s="37">
        <v>1460013.92</v>
      </c>
      <c r="G306" s="70">
        <v>1027249.88</v>
      </c>
      <c r="H306" s="37">
        <v>1015090.09</v>
      </c>
      <c r="I306" s="22">
        <v>1238641.8500000001</v>
      </c>
      <c r="J306" s="37">
        <v>1223947.67</v>
      </c>
      <c r="K306" s="22">
        <v>1197959.1300000001</v>
      </c>
      <c r="L306" s="37">
        <v>1183989.6299999999</v>
      </c>
      <c r="M306" s="22">
        <v>1143916.98</v>
      </c>
      <c r="N306" s="37">
        <v>1130334.57</v>
      </c>
      <c r="O306" s="22">
        <v>1150674.98</v>
      </c>
      <c r="P306" s="37">
        <v>1136967.2</v>
      </c>
      <c r="Q306" s="22">
        <v>1224032.9500000002</v>
      </c>
      <c r="R306" s="37">
        <v>1209516.47</v>
      </c>
      <c r="S306" s="22">
        <v>992871.34</v>
      </c>
      <c r="T306" s="37">
        <v>981145.79</v>
      </c>
      <c r="U306" s="22">
        <v>916571.24</v>
      </c>
      <c r="V306" s="37">
        <v>905859.89</v>
      </c>
      <c r="W306" s="22">
        <v>779156.33</v>
      </c>
      <c r="X306" s="37">
        <v>773240.88</v>
      </c>
      <c r="Y306" s="22">
        <v>1217813.17</v>
      </c>
      <c r="Z306" s="37">
        <v>1203797.82</v>
      </c>
      <c r="AB306" s="22">
        <f t="shared" si="276"/>
        <v>13329669.170000004</v>
      </c>
      <c r="AC306" s="22">
        <f t="shared" si="277"/>
        <v>13485524.439999999</v>
      </c>
    </row>
    <row r="307" spans="1:29" s="260" customFormat="1" x14ac:dyDescent="0.2">
      <c r="A307" s="9" t="s">
        <v>24</v>
      </c>
      <c r="B307" s="9"/>
      <c r="C307" s="22">
        <v>184138.98</v>
      </c>
      <c r="D307" s="37">
        <v>181951.51</v>
      </c>
      <c r="E307" s="70">
        <v>195522.31</v>
      </c>
      <c r="F307" s="37">
        <v>193198.18</v>
      </c>
      <c r="G307" s="70">
        <v>181266.69999999998</v>
      </c>
      <c r="H307" s="37">
        <v>179121</v>
      </c>
      <c r="I307" s="22">
        <v>174753.72999999998</v>
      </c>
      <c r="J307" s="37">
        <v>172680.6</v>
      </c>
      <c r="K307" s="22">
        <v>188592.44</v>
      </c>
      <c r="L307" s="37">
        <v>186393.25</v>
      </c>
      <c r="M307" s="22">
        <v>189114.90999999997</v>
      </c>
      <c r="N307" s="37">
        <v>186869.44</v>
      </c>
      <c r="O307" s="22">
        <v>150429.97999999998</v>
      </c>
      <c r="P307" s="37">
        <v>148637.94</v>
      </c>
      <c r="Q307" s="22">
        <v>184720.38999999998</v>
      </c>
      <c r="R307" s="37">
        <v>182529.69</v>
      </c>
      <c r="S307" s="22">
        <v>147044.43</v>
      </c>
      <c r="T307" s="37">
        <v>145307.87</v>
      </c>
      <c r="U307" s="22">
        <v>130850.73</v>
      </c>
      <c r="V307" s="37">
        <v>129321.57</v>
      </c>
      <c r="W307" s="22">
        <v>121489.03</v>
      </c>
      <c r="X307" s="37">
        <v>120566.67</v>
      </c>
      <c r="Y307" s="22">
        <v>147417.35</v>
      </c>
      <c r="Z307" s="37">
        <v>145720.78</v>
      </c>
      <c r="AB307" s="22">
        <f t="shared" si="276"/>
        <v>1972298.5</v>
      </c>
      <c r="AC307" s="22">
        <f t="shared" si="277"/>
        <v>1995340.9799999997</v>
      </c>
    </row>
    <row r="308" spans="1:29" s="260" customFormat="1" x14ac:dyDescent="0.2">
      <c r="A308" s="9" t="s">
        <v>25</v>
      </c>
      <c r="B308" s="9"/>
      <c r="C308" s="22">
        <v>171027.47</v>
      </c>
      <c r="D308" s="37">
        <v>168995.76</v>
      </c>
      <c r="E308" s="70">
        <v>185196.53</v>
      </c>
      <c r="F308" s="37">
        <v>182995.14</v>
      </c>
      <c r="G308" s="70">
        <v>186377</v>
      </c>
      <c r="H308" s="37">
        <v>184170.81</v>
      </c>
      <c r="I308" s="22">
        <v>180671.91</v>
      </c>
      <c r="J308" s="37">
        <v>178528.57</v>
      </c>
      <c r="K308" s="22">
        <v>149511.59</v>
      </c>
      <c r="L308" s="37">
        <v>147768.12</v>
      </c>
      <c r="M308" s="22">
        <v>172967.87</v>
      </c>
      <c r="N308" s="37">
        <v>170914.12</v>
      </c>
      <c r="O308" s="22">
        <v>151645.26</v>
      </c>
      <c r="P308" s="37">
        <v>149838.74</v>
      </c>
      <c r="Q308" s="22">
        <v>174107.50999999998</v>
      </c>
      <c r="R308" s="37">
        <v>172042.67</v>
      </c>
      <c r="S308" s="22">
        <v>135205.53</v>
      </c>
      <c r="T308" s="37">
        <v>133608.79</v>
      </c>
      <c r="U308" s="22">
        <v>131149.93</v>
      </c>
      <c r="V308" s="37">
        <v>129617.27</v>
      </c>
      <c r="W308" s="22">
        <v>154734.73000000001</v>
      </c>
      <c r="X308" s="37">
        <v>153559.97</v>
      </c>
      <c r="Y308" s="22">
        <v>152849.76</v>
      </c>
      <c r="Z308" s="37">
        <v>151090.67000000001</v>
      </c>
      <c r="AB308" s="22">
        <f t="shared" si="276"/>
        <v>1923130.63</v>
      </c>
      <c r="AC308" s="22">
        <f t="shared" si="277"/>
        <v>1945445.0899999999</v>
      </c>
    </row>
    <row r="309" spans="1:29" s="260" customFormat="1" x14ac:dyDescent="0.2">
      <c r="A309" s="9" t="s">
        <v>26</v>
      </c>
      <c r="B309" s="9"/>
      <c r="C309" s="22">
        <v>2315098.73</v>
      </c>
      <c r="D309" s="37">
        <v>2287596.61</v>
      </c>
      <c r="E309" s="70">
        <v>2672619.17</v>
      </c>
      <c r="F309" s="37">
        <v>2640850.38</v>
      </c>
      <c r="G309" s="70">
        <v>2590874.12</v>
      </c>
      <c r="H309" s="37">
        <v>2560205.35</v>
      </c>
      <c r="I309" s="22">
        <v>2562980.41</v>
      </c>
      <c r="J309" s="37">
        <v>2532575.41</v>
      </c>
      <c r="K309" s="22">
        <v>2701441.1500000004</v>
      </c>
      <c r="L309" s="37">
        <v>2669939.41</v>
      </c>
      <c r="M309" s="22">
        <v>2612417.29</v>
      </c>
      <c r="N309" s="37">
        <v>2581398.4900000002</v>
      </c>
      <c r="O309" s="22">
        <v>2470288.23</v>
      </c>
      <c r="P309" s="37">
        <v>2440860.14</v>
      </c>
      <c r="Q309" s="22">
        <v>3238089.92</v>
      </c>
      <c r="R309" s="37">
        <v>3199687.63</v>
      </c>
      <c r="S309" s="22">
        <v>2133835.2199999997</v>
      </c>
      <c r="T309" s="37">
        <v>2108635.19</v>
      </c>
      <c r="U309" s="22">
        <v>1793381.1099999999</v>
      </c>
      <c r="V309" s="37">
        <v>1772423.08</v>
      </c>
      <c r="W309" s="22">
        <v>2401745.5299999998</v>
      </c>
      <c r="X309" s="37">
        <v>2383511.2000000002</v>
      </c>
      <c r="Y309" s="22">
        <v>2236765.71</v>
      </c>
      <c r="Z309" s="37">
        <v>2211023.62</v>
      </c>
      <c r="AB309" s="22">
        <f t="shared" si="276"/>
        <v>29388706.509999998</v>
      </c>
      <c r="AC309" s="22">
        <f t="shared" si="277"/>
        <v>29729536.590000004</v>
      </c>
    </row>
    <row r="310" spans="1:29" s="260" customFormat="1" x14ac:dyDescent="0.2">
      <c r="A310" s="9" t="s">
        <v>50</v>
      </c>
      <c r="B310" s="9"/>
      <c r="C310" s="22">
        <v>42581.599999999999</v>
      </c>
      <c r="D310" s="37">
        <v>42075.75</v>
      </c>
      <c r="E310" s="70">
        <v>54953.03</v>
      </c>
      <c r="F310" s="37">
        <v>54299.82</v>
      </c>
      <c r="G310" s="70">
        <v>63267.98</v>
      </c>
      <c r="H310" s="37">
        <v>62519.06</v>
      </c>
      <c r="I310" s="22">
        <v>78690.720000000001</v>
      </c>
      <c r="J310" s="37">
        <v>77757.2</v>
      </c>
      <c r="K310" s="22">
        <v>58281.340000000004</v>
      </c>
      <c r="L310" s="37">
        <v>57601.72</v>
      </c>
      <c r="M310" s="22">
        <v>69776.570000000007</v>
      </c>
      <c r="N310" s="37">
        <v>68948.070000000007</v>
      </c>
      <c r="O310" s="22">
        <v>43846.42</v>
      </c>
      <c r="P310" s="37">
        <v>43324.09</v>
      </c>
      <c r="Q310" s="22">
        <v>47984.72</v>
      </c>
      <c r="R310" s="37">
        <v>47415.64</v>
      </c>
      <c r="S310" s="22">
        <v>53269.89</v>
      </c>
      <c r="T310" s="37">
        <v>52640.79</v>
      </c>
      <c r="U310" s="22">
        <v>35745.909999999996</v>
      </c>
      <c r="V310" s="37">
        <v>35328.17</v>
      </c>
      <c r="W310" s="22">
        <v>39690.03</v>
      </c>
      <c r="X310" s="37">
        <v>39388.699999999997</v>
      </c>
      <c r="Y310" s="22">
        <v>45159.99</v>
      </c>
      <c r="Z310" s="37">
        <v>44640.26</v>
      </c>
      <c r="AB310" s="22">
        <f t="shared" si="276"/>
        <v>625939.27</v>
      </c>
      <c r="AC310" s="22">
        <f t="shared" si="277"/>
        <v>633248.20000000007</v>
      </c>
    </row>
    <row r="311" spans="1:29" s="260" customFormat="1" x14ac:dyDescent="0.2">
      <c r="A311" s="9" t="s">
        <v>55</v>
      </c>
      <c r="B311" s="9"/>
      <c r="C311" s="22">
        <v>125087.8</v>
      </c>
      <c r="D311" s="37">
        <v>123601.82</v>
      </c>
      <c r="E311" s="70">
        <v>126095.75</v>
      </c>
      <c r="F311" s="37">
        <v>124596.88</v>
      </c>
      <c r="G311" s="70">
        <v>143579.48000000001</v>
      </c>
      <c r="H311" s="37">
        <v>141879.9</v>
      </c>
      <c r="I311" s="22">
        <v>127773.04000000001</v>
      </c>
      <c r="J311" s="37">
        <v>126257.25</v>
      </c>
      <c r="K311" s="22">
        <v>144863.72999999998</v>
      </c>
      <c r="L311" s="37">
        <v>143174.46</v>
      </c>
      <c r="M311" s="22">
        <v>54897.380000000005</v>
      </c>
      <c r="N311" s="37">
        <v>54245.55</v>
      </c>
      <c r="O311" s="22">
        <v>212746.5</v>
      </c>
      <c r="P311" s="37">
        <v>210212.09</v>
      </c>
      <c r="Q311" s="22">
        <v>143753.77000000002</v>
      </c>
      <c r="R311" s="37">
        <v>142048.91</v>
      </c>
      <c r="S311" s="22">
        <v>144262.55000000002</v>
      </c>
      <c r="T311" s="37">
        <v>142558.85</v>
      </c>
      <c r="U311" s="22">
        <v>56506.990000000005</v>
      </c>
      <c r="V311" s="37">
        <v>55846.63</v>
      </c>
      <c r="W311" s="22">
        <v>235484.89</v>
      </c>
      <c r="X311" s="37">
        <v>233697.06</v>
      </c>
      <c r="Y311" s="22">
        <v>134770.6</v>
      </c>
      <c r="Z311" s="37">
        <v>133219.57999999999</v>
      </c>
      <c r="AB311" s="22">
        <f t="shared" si="276"/>
        <v>1631338.98</v>
      </c>
      <c r="AC311" s="22">
        <f t="shared" si="277"/>
        <v>1649822.4800000004</v>
      </c>
    </row>
    <row r="312" spans="1:29" s="260" customFormat="1" x14ac:dyDescent="0.2">
      <c r="A312" s="9" t="s">
        <v>51</v>
      </c>
      <c r="B312" s="9"/>
      <c r="C312" s="22">
        <v>91635.77</v>
      </c>
      <c r="D312" s="37">
        <v>90547.19</v>
      </c>
      <c r="E312" s="70">
        <v>82467.930000000008</v>
      </c>
      <c r="F312" s="37">
        <v>81487.649999999994</v>
      </c>
      <c r="G312" s="70">
        <v>116722.83</v>
      </c>
      <c r="H312" s="37">
        <v>115341.16</v>
      </c>
      <c r="I312" s="22">
        <v>105770.45</v>
      </c>
      <c r="J312" s="37">
        <v>104515.68</v>
      </c>
      <c r="K312" s="22">
        <v>75284.679999999993</v>
      </c>
      <c r="L312" s="37">
        <v>74406.78</v>
      </c>
      <c r="M312" s="22">
        <v>100357.73</v>
      </c>
      <c r="N312" s="37">
        <v>99166.12</v>
      </c>
      <c r="O312" s="22">
        <v>91432.709999999992</v>
      </c>
      <c r="P312" s="37">
        <v>90343.49</v>
      </c>
      <c r="Q312" s="22">
        <v>107975.39</v>
      </c>
      <c r="R312" s="37">
        <v>106694.85</v>
      </c>
      <c r="S312" s="22">
        <v>129638.63</v>
      </c>
      <c r="T312" s="37">
        <v>128107.63</v>
      </c>
      <c r="U312" s="22">
        <v>82697.36</v>
      </c>
      <c r="V312" s="37">
        <v>81730.929999999993</v>
      </c>
      <c r="W312" s="22">
        <v>85011.35</v>
      </c>
      <c r="X312" s="37">
        <v>84365.93</v>
      </c>
      <c r="Y312" s="22">
        <v>113469.17</v>
      </c>
      <c r="Z312" s="37">
        <v>112163.3</v>
      </c>
      <c r="AB312" s="22">
        <f t="shared" si="276"/>
        <v>1168870.71</v>
      </c>
      <c r="AC312" s="22">
        <f t="shared" si="277"/>
        <v>1182464</v>
      </c>
    </row>
    <row r="313" spans="1:29" s="260" customFormat="1" x14ac:dyDescent="0.2">
      <c r="A313" s="9" t="s">
        <v>52</v>
      </c>
      <c r="B313" s="9"/>
      <c r="C313" s="22">
        <v>225377.22</v>
      </c>
      <c r="D313" s="37">
        <v>222699.86</v>
      </c>
      <c r="E313" s="70">
        <v>189775.03999999998</v>
      </c>
      <c r="F313" s="37">
        <v>187519.23</v>
      </c>
      <c r="G313" s="70">
        <v>207396.47</v>
      </c>
      <c r="H313" s="37">
        <v>204941.47</v>
      </c>
      <c r="I313" s="22">
        <v>201166.5</v>
      </c>
      <c r="J313" s="37">
        <v>198780.03</v>
      </c>
      <c r="K313" s="22">
        <v>206185.45</v>
      </c>
      <c r="L313" s="37">
        <v>203781.1</v>
      </c>
      <c r="M313" s="22">
        <v>159384.19</v>
      </c>
      <c r="N313" s="37">
        <v>157491.73000000001</v>
      </c>
      <c r="O313" s="22">
        <v>179052.62</v>
      </c>
      <c r="P313" s="37">
        <v>176919.6</v>
      </c>
      <c r="Q313" s="22">
        <v>205379.84</v>
      </c>
      <c r="R313" s="37">
        <v>202944.13</v>
      </c>
      <c r="S313" s="22">
        <v>148823.78</v>
      </c>
      <c r="T313" s="37">
        <v>147066.21</v>
      </c>
      <c r="U313" s="22">
        <v>135420.72999999998</v>
      </c>
      <c r="V313" s="37">
        <v>133838.16</v>
      </c>
      <c r="W313" s="22">
        <v>138065.29</v>
      </c>
      <c r="X313" s="37">
        <v>137017.07999999999</v>
      </c>
      <c r="Y313" s="22">
        <v>122863.18</v>
      </c>
      <c r="Z313" s="37">
        <v>121449.19</v>
      </c>
      <c r="AB313" s="22">
        <f t="shared" si="276"/>
        <v>2094447.7899999998</v>
      </c>
      <c r="AC313" s="22">
        <f t="shared" si="277"/>
        <v>2118890.31</v>
      </c>
    </row>
    <row r="314" spans="1:29" s="260" customFormat="1" x14ac:dyDescent="0.2">
      <c r="A314" s="9" t="s">
        <v>56</v>
      </c>
      <c r="B314" s="9"/>
      <c r="C314" s="22">
        <v>513643.55000000005</v>
      </c>
      <c r="D314" s="37">
        <v>507541.74</v>
      </c>
      <c r="E314" s="70">
        <v>693860.16999999993</v>
      </c>
      <c r="F314" s="37">
        <v>685612.42</v>
      </c>
      <c r="G314" s="70">
        <v>406606.66000000003</v>
      </c>
      <c r="H314" s="37">
        <v>401793.56</v>
      </c>
      <c r="I314" s="22">
        <v>416681.9</v>
      </c>
      <c r="J314" s="37">
        <v>411738.74</v>
      </c>
      <c r="K314" s="22">
        <v>472676.75</v>
      </c>
      <c r="L314" s="37">
        <v>467164.83</v>
      </c>
      <c r="M314" s="22">
        <v>483711.02999999997</v>
      </c>
      <c r="N314" s="37">
        <v>477967.64</v>
      </c>
      <c r="O314" s="22">
        <v>435268.07999999996</v>
      </c>
      <c r="P314" s="37">
        <v>430082.81</v>
      </c>
      <c r="Q314" s="22">
        <v>843976.71</v>
      </c>
      <c r="R314" s="37">
        <v>833967.53</v>
      </c>
      <c r="S314" s="22">
        <v>547265.80000000005</v>
      </c>
      <c r="T314" s="37">
        <v>540802.74</v>
      </c>
      <c r="U314" s="22">
        <v>520160.09</v>
      </c>
      <c r="V314" s="37">
        <v>514081.33</v>
      </c>
      <c r="W314" s="22">
        <v>531195.42000000004</v>
      </c>
      <c r="X314" s="37">
        <v>527162.52</v>
      </c>
      <c r="Y314" s="22">
        <v>564677.31000000006</v>
      </c>
      <c r="Z314" s="37">
        <v>558178.65</v>
      </c>
      <c r="AB314" s="22">
        <f t="shared" si="276"/>
        <v>6356094.5100000016</v>
      </c>
      <c r="AC314" s="22">
        <f t="shared" si="277"/>
        <v>6429723.4699999988</v>
      </c>
    </row>
    <row r="315" spans="1:29" s="260" customFormat="1" x14ac:dyDescent="0.2">
      <c r="A315" s="9" t="s">
        <v>53</v>
      </c>
      <c r="B315" s="9"/>
      <c r="C315" s="22">
        <v>41684.31</v>
      </c>
      <c r="D315" s="37">
        <v>41189.120000000003</v>
      </c>
      <c r="E315" s="70">
        <v>35160.35</v>
      </c>
      <c r="F315" s="37">
        <v>34742.410000000003</v>
      </c>
      <c r="G315" s="70">
        <v>37786.97</v>
      </c>
      <c r="H315" s="37">
        <v>37339.68</v>
      </c>
      <c r="I315" s="22">
        <v>27907.5</v>
      </c>
      <c r="J315" s="37">
        <v>27576.43</v>
      </c>
      <c r="K315" s="22">
        <v>21752.77</v>
      </c>
      <c r="L315" s="37">
        <v>21499.11</v>
      </c>
      <c r="M315" s="22">
        <v>38616.560000000005</v>
      </c>
      <c r="N315" s="37">
        <v>38158.04</v>
      </c>
      <c r="O315" s="22">
        <v>21892.25</v>
      </c>
      <c r="P315" s="37">
        <v>21631.45</v>
      </c>
      <c r="Q315" s="22">
        <v>25386.77</v>
      </c>
      <c r="R315" s="37">
        <v>25085.69</v>
      </c>
      <c r="S315" s="22">
        <v>16103.03</v>
      </c>
      <c r="T315" s="37">
        <v>15912.86</v>
      </c>
      <c r="U315" s="22">
        <v>26665.43</v>
      </c>
      <c r="V315" s="37">
        <v>26353.81</v>
      </c>
      <c r="W315" s="22">
        <v>17890</v>
      </c>
      <c r="X315" s="37">
        <v>17754.18</v>
      </c>
      <c r="Y315" s="22">
        <v>37702.79</v>
      </c>
      <c r="Z315" s="37">
        <v>37268.879999999997</v>
      </c>
      <c r="AB315" s="22">
        <f t="shared" si="276"/>
        <v>344511.66000000003</v>
      </c>
      <c r="AC315" s="22">
        <f t="shared" si="277"/>
        <v>348548.73</v>
      </c>
    </row>
    <row r="316" spans="1:29" s="260" customFormat="1" x14ac:dyDescent="0.2">
      <c r="A316" s="9" t="s">
        <v>57</v>
      </c>
      <c r="B316" s="9"/>
      <c r="C316" s="22">
        <v>32033.98</v>
      </c>
      <c r="D316" s="37">
        <v>31653.43</v>
      </c>
      <c r="E316" s="70">
        <v>52856.22</v>
      </c>
      <c r="F316" s="37">
        <v>52227.93</v>
      </c>
      <c r="G316" s="70">
        <v>27132.240000000002</v>
      </c>
      <c r="H316" s="37">
        <v>26811.07</v>
      </c>
      <c r="I316" s="22">
        <v>37220.17</v>
      </c>
      <c r="J316" s="37">
        <v>36778.620000000003</v>
      </c>
      <c r="K316" s="22">
        <v>42766.14</v>
      </c>
      <c r="L316" s="37">
        <v>42267.44</v>
      </c>
      <c r="M316" s="22">
        <v>44983.43</v>
      </c>
      <c r="N316" s="37">
        <v>44449.31</v>
      </c>
      <c r="O316" s="22">
        <v>33823.67</v>
      </c>
      <c r="P316" s="37">
        <v>33420.730000000003</v>
      </c>
      <c r="Q316" s="22">
        <v>31223.960000000003</v>
      </c>
      <c r="R316" s="37">
        <v>30853.66</v>
      </c>
      <c r="S316" s="22">
        <v>48691.87</v>
      </c>
      <c r="T316" s="37">
        <v>48116.83</v>
      </c>
      <c r="U316" s="22">
        <v>29854.9</v>
      </c>
      <c r="V316" s="37">
        <v>29506.01</v>
      </c>
      <c r="W316" s="22">
        <v>32837.22</v>
      </c>
      <c r="X316" s="37">
        <v>32587.919999999998</v>
      </c>
      <c r="Y316" s="22">
        <v>34126</v>
      </c>
      <c r="Z316" s="37">
        <v>33733.26</v>
      </c>
      <c r="AB316" s="22">
        <f t="shared" si="276"/>
        <v>442406.20999999996</v>
      </c>
      <c r="AC316" s="22">
        <f t="shared" si="277"/>
        <v>447549.80000000005</v>
      </c>
    </row>
    <row r="317" spans="1:29" s="260" customFormat="1" x14ac:dyDescent="0.2">
      <c r="A317" s="9" t="s">
        <v>58</v>
      </c>
      <c r="B317" s="9"/>
      <c r="C317" s="22">
        <v>23828.73</v>
      </c>
      <c r="D317" s="37">
        <v>23545.66</v>
      </c>
      <c r="E317" s="70">
        <v>19682.87</v>
      </c>
      <c r="F317" s="37">
        <v>19448.900000000001</v>
      </c>
      <c r="G317" s="70">
        <v>23104.57</v>
      </c>
      <c r="H317" s="37">
        <v>22831.08</v>
      </c>
      <c r="I317" s="22">
        <v>16126.66</v>
      </c>
      <c r="J317" s="37">
        <v>15935.35</v>
      </c>
      <c r="K317" s="22">
        <v>27263.279999999999</v>
      </c>
      <c r="L317" s="37">
        <v>26945.360000000001</v>
      </c>
      <c r="M317" s="22">
        <v>17124.22</v>
      </c>
      <c r="N317" s="37">
        <v>16920.89</v>
      </c>
      <c r="O317" s="22">
        <v>23030.240000000002</v>
      </c>
      <c r="P317" s="37">
        <v>22755.88</v>
      </c>
      <c r="Q317" s="22">
        <v>25463.769999999997</v>
      </c>
      <c r="R317" s="37">
        <v>25161.78</v>
      </c>
      <c r="S317" s="22">
        <v>26622.260000000002</v>
      </c>
      <c r="T317" s="37">
        <v>26307.86</v>
      </c>
      <c r="U317" s="22">
        <v>17708.150000000001</v>
      </c>
      <c r="V317" s="37">
        <v>17501.21</v>
      </c>
      <c r="W317" s="22">
        <v>22731.15</v>
      </c>
      <c r="X317" s="37">
        <v>22558.57</v>
      </c>
      <c r="Y317" s="22">
        <v>15163.43</v>
      </c>
      <c r="Z317" s="37">
        <v>14988.92</v>
      </c>
      <c r="AB317" s="22">
        <f t="shared" si="276"/>
        <v>254901.46000000002</v>
      </c>
      <c r="AC317" s="22">
        <f t="shared" si="277"/>
        <v>257849.33</v>
      </c>
    </row>
    <row r="318" spans="1:29" s="260" customFormat="1" x14ac:dyDescent="0.2">
      <c r="A318" s="9" t="s">
        <v>59</v>
      </c>
      <c r="B318" s="9"/>
      <c r="C318" s="22">
        <v>344728.76</v>
      </c>
      <c r="D318" s="37">
        <v>340633.57</v>
      </c>
      <c r="E318" s="70">
        <v>328609.17000000004</v>
      </c>
      <c r="F318" s="37">
        <v>324703.07</v>
      </c>
      <c r="G318" s="70">
        <v>273666.37</v>
      </c>
      <c r="H318" s="37">
        <v>270426.92</v>
      </c>
      <c r="I318" s="22">
        <v>303107.15000000002</v>
      </c>
      <c r="J318" s="37">
        <v>299511.34999999998</v>
      </c>
      <c r="K318" s="22">
        <v>284972.63999999996</v>
      </c>
      <c r="L318" s="37">
        <v>281649.55</v>
      </c>
      <c r="M318" s="22">
        <v>354614.65</v>
      </c>
      <c r="N318" s="37">
        <v>350404.1</v>
      </c>
      <c r="O318" s="22">
        <v>291828.66000000003</v>
      </c>
      <c r="P318" s="37">
        <v>288352.15999999997</v>
      </c>
      <c r="Q318" s="22">
        <v>367011.04000000004</v>
      </c>
      <c r="R318" s="37">
        <v>362658.45</v>
      </c>
      <c r="S318" s="22">
        <v>362820.61</v>
      </c>
      <c r="T318" s="37">
        <v>358535.79</v>
      </c>
      <c r="U318" s="22">
        <v>332554.74</v>
      </c>
      <c r="V318" s="37">
        <v>328668.40000000002</v>
      </c>
      <c r="W318" s="22">
        <v>380141.22</v>
      </c>
      <c r="X318" s="37">
        <v>377255.14</v>
      </c>
      <c r="Y318" s="22">
        <v>390903.41</v>
      </c>
      <c r="Z318" s="37">
        <v>386404.65</v>
      </c>
      <c r="AB318" s="22">
        <f t="shared" si="276"/>
        <v>3969203.1500000004</v>
      </c>
      <c r="AC318" s="22">
        <f t="shared" si="277"/>
        <v>4014958.42</v>
      </c>
    </row>
    <row r="319" spans="1:29" s="260" customFormat="1" x14ac:dyDescent="0.2">
      <c r="A319" s="9" t="s">
        <v>60</v>
      </c>
      <c r="B319" s="9"/>
      <c r="C319" s="22">
        <v>27127.599999999999</v>
      </c>
      <c r="D319" s="37">
        <v>26805.34</v>
      </c>
      <c r="E319" s="70">
        <v>41812.76</v>
      </c>
      <c r="F319" s="37">
        <v>41315.74</v>
      </c>
      <c r="G319" s="70">
        <v>36246.049999999996</v>
      </c>
      <c r="H319" s="37">
        <v>35817</v>
      </c>
      <c r="I319" s="22">
        <v>36963.350000000006</v>
      </c>
      <c r="J319" s="37">
        <v>36524.85</v>
      </c>
      <c r="K319" s="22">
        <v>23121.84</v>
      </c>
      <c r="L319" s="37">
        <v>22852.21</v>
      </c>
      <c r="M319" s="22">
        <v>21950.83</v>
      </c>
      <c r="N319" s="37">
        <v>21690.19</v>
      </c>
      <c r="O319" s="22">
        <v>28343.82</v>
      </c>
      <c r="P319" s="37">
        <v>28006.17</v>
      </c>
      <c r="Q319" s="22">
        <v>71902.34</v>
      </c>
      <c r="R319" s="37">
        <v>71049.61</v>
      </c>
      <c r="S319" s="22">
        <v>33244.840000000004</v>
      </c>
      <c r="T319" s="37">
        <v>32852.230000000003</v>
      </c>
      <c r="U319" s="22">
        <v>23274.79</v>
      </c>
      <c r="V319" s="37">
        <v>23002.79</v>
      </c>
      <c r="W319" s="22">
        <v>27099.9</v>
      </c>
      <c r="X319" s="37">
        <v>26894.15</v>
      </c>
      <c r="Y319" s="22">
        <v>21271.24</v>
      </c>
      <c r="Z319" s="37">
        <v>21026.44</v>
      </c>
      <c r="AB319" s="22">
        <f t="shared" si="276"/>
        <v>387836.72</v>
      </c>
      <c r="AC319" s="22">
        <f t="shared" si="277"/>
        <v>392359.36</v>
      </c>
    </row>
    <row r="320" spans="1:29" s="260" customFormat="1" x14ac:dyDescent="0.2">
      <c r="A320" s="9" t="s">
        <v>61</v>
      </c>
      <c r="B320" s="9"/>
      <c r="C320" s="22">
        <v>945720.65</v>
      </c>
      <c r="D320" s="37">
        <v>934486</v>
      </c>
      <c r="E320" s="70">
        <v>877153.27</v>
      </c>
      <c r="F320" s="37">
        <v>866726.76</v>
      </c>
      <c r="G320" s="70">
        <v>1017717.9299999999</v>
      </c>
      <c r="H320" s="37">
        <v>1005670.97</v>
      </c>
      <c r="I320" s="22">
        <v>1047048.38</v>
      </c>
      <c r="J320" s="37">
        <v>1034627.1</v>
      </c>
      <c r="K320" s="22">
        <v>921125.28</v>
      </c>
      <c r="L320" s="37">
        <v>910383.96</v>
      </c>
      <c r="M320" s="22">
        <v>973894.5</v>
      </c>
      <c r="N320" s="37">
        <v>962330.87</v>
      </c>
      <c r="O320" s="22">
        <v>733743.83</v>
      </c>
      <c r="P320" s="37">
        <v>725002.87</v>
      </c>
      <c r="Q320" s="22">
        <v>837766.44</v>
      </c>
      <c r="R320" s="37">
        <v>827830.91</v>
      </c>
      <c r="S320" s="22">
        <v>641142.85</v>
      </c>
      <c r="T320" s="37">
        <v>633571.12</v>
      </c>
      <c r="U320" s="22">
        <v>656432.54</v>
      </c>
      <c r="V320" s="37">
        <v>648761.26</v>
      </c>
      <c r="W320" s="22">
        <v>767702.89</v>
      </c>
      <c r="X320" s="37">
        <v>761874.4</v>
      </c>
      <c r="Y320" s="22">
        <v>833197.32</v>
      </c>
      <c r="Z320" s="37">
        <v>823608.37</v>
      </c>
      <c r="AB320" s="22">
        <f t="shared" si="276"/>
        <v>10134874.59</v>
      </c>
      <c r="AC320" s="22">
        <f t="shared" si="277"/>
        <v>10252645.879999999</v>
      </c>
    </row>
    <row r="321" spans="1:30" s="260" customFormat="1" x14ac:dyDescent="0.2">
      <c r="A321" s="9" t="s">
        <v>65</v>
      </c>
      <c r="B321" s="9"/>
      <c r="C321" s="22">
        <v>835142.59000000008</v>
      </c>
      <c r="D321" s="37">
        <v>825221.55</v>
      </c>
      <c r="E321" s="70">
        <v>903542.72000000009</v>
      </c>
      <c r="F321" s="37">
        <v>892802.52</v>
      </c>
      <c r="G321" s="70">
        <v>873386.59</v>
      </c>
      <c r="H321" s="37">
        <v>863048.11</v>
      </c>
      <c r="I321" s="22">
        <v>937861.35</v>
      </c>
      <c r="J321" s="37">
        <v>926735.37</v>
      </c>
      <c r="K321" s="22">
        <v>914665.74</v>
      </c>
      <c r="L321" s="37">
        <v>903999.74</v>
      </c>
      <c r="M321" s="22">
        <v>783631.47</v>
      </c>
      <c r="N321" s="37">
        <v>774326.94</v>
      </c>
      <c r="O321" s="22">
        <v>812007.16</v>
      </c>
      <c r="P321" s="37">
        <v>802333.87</v>
      </c>
      <c r="Q321" s="22">
        <v>937158.51</v>
      </c>
      <c r="R321" s="37">
        <v>926044.23</v>
      </c>
      <c r="S321" s="22">
        <v>769905.16999999993</v>
      </c>
      <c r="T321" s="37">
        <v>760812.79</v>
      </c>
      <c r="U321" s="22">
        <v>697019.58000000007</v>
      </c>
      <c r="V321" s="37">
        <v>688873.98</v>
      </c>
      <c r="W321" s="22">
        <v>889309.59</v>
      </c>
      <c r="X321" s="37">
        <v>882557.85</v>
      </c>
      <c r="Y321" s="22">
        <v>701332.79</v>
      </c>
      <c r="Z321" s="37">
        <v>693261.42</v>
      </c>
      <c r="AB321" s="22">
        <f t="shared" si="276"/>
        <v>9940018.3699999992</v>
      </c>
      <c r="AC321" s="22">
        <f t="shared" si="277"/>
        <v>10054963.259999998</v>
      </c>
    </row>
    <row r="322" spans="1:30" s="260" customFormat="1" x14ac:dyDescent="0.2">
      <c r="A322" s="9" t="s">
        <v>62</v>
      </c>
      <c r="B322" s="9"/>
      <c r="C322" s="22">
        <v>0</v>
      </c>
      <c r="D322" s="37">
        <v>0</v>
      </c>
      <c r="E322" s="70">
        <v>68.94</v>
      </c>
      <c r="F322" s="37">
        <v>68.12</v>
      </c>
      <c r="G322" s="70">
        <v>0</v>
      </c>
      <c r="H322" s="37">
        <v>0</v>
      </c>
      <c r="I322" s="22">
        <v>0</v>
      </c>
      <c r="J322" s="37">
        <v>0</v>
      </c>
      <c r="K322" s="22">
        <v>0</v>
      </c>
      <c r="L322" s="37">
        <v>0</v>
      </c>
      <c r="M322" s="22">
        <v>0</v>
      </c>
      <c r="N322" s="37">
        <v>0</v>
      </c>
      <c r="O322" s="22">
        <v>0</v>
      </c>
      <c r="P322" s="37">
        <v>0</v>
      </c>
      <c r="Q322" s="22">
        <v>208.78</v>
      </c>
      <c r="R322" s="37">
        <v>206.3</v>
      </c>
      <c r="S322" s="22">
        <v>0</v>
      </c>
      <c r="T322" s="37">
        <v>0</v>
      </c>
      <c r="U322" s="22">
        <v>0</v>
      </c>
      <c r="V322" s="37">
        <v>0</v>
      </c>
      <c r="W322" s="22">
        <v>0</v>
      </c>
      <c r="X322" s="37">
        <v>0</v>
      </c>
      <c r="Y322" s="22">
        <v>0</v>
      </c>
      <c r="Z322" s="37">
        <v>0</v>
      </c>
      <c r="AB322" s="22">
        <f t="shared" si="276"/>
        <v>274.42</v>
      </c>
      <c r="AC322" s="22">
        <f t="shared" si="277"/>
        <v>277.72000000000003</v>
      </c>
    </row>
    <row r="323" spans="1:30" s="260" customFormat="1" x14ac:dyDescent="0.2">
      <c r="A323" s="9" t="s">
        <v>93</v>
      </c>
      <c r="B323" s="9"/>
      <c r="C323" s="22">
        <v>190447.70000000004</v>
      </c>
      <c r="D323" s="37">
        <v>188185.29</v>
      </c>
      <c r="E323" s="70">
        <v>197734.26</v>
      </c>
      <c r="F323" s="37">
        <v>195383.85</v>
      </c>
      <c r="G323" s="70">
        <v>194572.42</v>
      </c>
      <c r="H323" s="37">
        <v>192269.22</v>
      </c>
      <c r="I323" s="22">
        <v>195380.62000000002</v>
      </c>
      <c r="J323" s="37">
        <v>193062.80000000002</v>
      </c>
      <c r="K323" s="22">
        <v>106939.98</v>
      </c>
      <c r="L323" s="37">
        <v>105692.94</v>
      </c>
      <c r="M323" s="22">
        <v>66690</v>
      </c>
      <c r="N323" s="37">
        <v>65898.149999999994</v>
      </c>
      <c r="O323" s="22">
        <v>59559.34</v>
      </c>
      <c r="P323" s="37">
        <v>58849.82</v>
      </c>
      <c r="Q323" s="22">
        <v>70612.36</v>
      </c>
      <c r="R323" s="37">
        <v>69774.95</v>
      </c>
      <c r="S323" s="22">
        <v>42649.02</v>
      </c>
      <c r="T323" s="37">
        <v>42145.35</v>
      </c>
      <c r="U323" s="22">
        <v>37719.39</v>
      </c>
      <c r="V323" s="37">
        <v>37278.589999999997</v>
      </c>
      <c r="W323" s="22">
        <v>29185.7</v>
      </c>
      <c r="X323" s="37">
        <v>28964.129999999997</v>
      </c>
      <c r="Y323" s="22">
        <v>22307.350000000002</v>
      </c>
      <c r="Z323" s="37">
        <v>22050.61</v>
      </c>
      <c r="AB323" s="22">
        <f t="shared" si="276"/>
        <v>1199555.7000000002</v>
      </c>
      <c r="AC323" s="22">
        <f t="shared" si="277"/>
        <v>1213798.1400000001</v>
      </c>
    </row>
    <row r="324" spans="1:30" s="260" customFormat="1" x14ac:dyDescent="0.2">
      <c r="A324" s="9" t="s">
        <v>67</v>
      </c>
      <c r="B324" s="9"/>
      <c r="C324" s="22">
        <v>643129.31000000006</v>
      </c>
      <c r="D324" s="37">
        <v>635489.28000000003</v>
      </c>
      <c r="E324" s="70">
        <v>724792.09</v>
      </c>
      <c r="F324" s="37">
        <v>716176.66</v>
      </c>
      <c r="G324" s="70">
        <v>692240.96</v>
      </c>
      <c r="H324" s="37">
        <v>684046.75</v>
      </c>
      <c r="I324" s="22">
        <v>700818.42</v>
      </c>
      <c r="J324" s="37">
        <v>692504.51</v>
      </c>
      <c r="K324" s="22">
        <v>838426.99</v>
      </c>
      <c r="L324" s="37">
        <v>828650.02</v>
      </c>
      <c r="M324" s="22">
        <v>674461.33</v>
      </c>
      <c r="N324" s="37">
        <v>666453.05000000005</v>
      </c>
      <c r="O324" s="22">
        <v>610166.71</v>
      </c>
      <c r="P324" s="37">
        <v>602897.91</v>
      </c>
      <c r="Q324" s="22">
        <v>804227.45000000007</v>
      </c>
      <c r="R324" s="37">
        <v>794689.67</v>
      </c>
      <c r="S324" s="22">
        <v>647079.5</v>
      </c>
      <c r="T324" s="37">
        <v>639437.66</v>
      </c>
      <c r="U324" s="22">
        <v>646542.01</v>
      </c>
      <c r="V324" s="37">
        <v>638986.31000000006</v>
      </c>
      <c r="W324" s="271">
        <v>4875581.6099999994</v>
      </c>
      <c r="X324" s="37">
        <v>4838565.62</v>
      </c>
      <c r="Y324" s="22">
        <v>877393.92000000004</v>
      </c>
      <c r="Z324" s="37">
        <v>867296.33</v>
      </c>
      <c r="AB324" s="22">
        <f>+D324+F324+H324+J324+L324+N324+P324+R324+T324+V324+X324+Z324-W331</f>
        <v>8742193.4700000025</v>
      </c>
      <c r="AC324" s="22">
        <f>+C324+E324+G324+I324+K324+M324+O324+Q324+S324+U324+W324+Y324-W331</f>
        <v>8871860</v>
      </c>
      <c r="AD324" s="20" t="s">
        <v>134</v>
      </c>
    </row>
    <row r="325" spans="1:30" s="260" customFormat="1" x14ac:dyDescent="0.2">
      <c r="A325" s="9"/>
      <c r="B325" s="9"/>
      <c r="C325" s="115"/>
      <c r="D325" s="37">
        <v>0</v>
      </c>
      <c r="E325" s="71"/>
      <c r="F325" s="37"/>
      <c r="G325" s="71"/>
      <c r="H325" s="37"/>
      <c r="I325" s="115"/>
      <c r="J325" s="37">
        <v>0</v>
      </c>
      <c r="K325" s="115">
        <v>0</v>
      </c>
      <c r="L325" s="37">
        <v>0</v>
      </c>
      <c r="M325" s="22"/>
      <c r="N325" s="22"/>
      <c r="O325" s="22"/>
      <c r="P325" s="37"/>
      <c r="Q325" s="22"/>
      <c r="R325" s="37"/>
      <c r="S325" s="107"/>
      <c r="T325" s="22"/>
      <c r="U325" s="22"/>
      <c r="V325" s="22"/>
      <c r="W325" s="107"/>
      <c r="X325" s="22"/>
      <c r="Y325" s="107"/>
      <c r="Z325" s="22"/>
      <c r="AB325" s="107"/>
      <c r="AC325" s="107"/>
    </row>
    <row r="326" spans="1:30" s="260" customFormat="1" x14ac:dyDescent="0.2">
      <c r="A326" s="263" t="s">
        <v>44</v>
      </c>
      <c r="B326" s="9"/>
      <c r="C326" s="34">
        <v>8105980.6400000006</v>
      </c>
      <c r="D326" s="34">
        <v>8009685.9700000007</v>
      </c>
      <c r="E326" s="34">
        <v>9060041.1899999995</v>
      </c>
      <c r="F326" s="72">
        <v>8952346.6300000008</v>
      </c>
      <c r="G326" s="34">
        <v>8285984.9300000006</v>
      </c>
      <c r="H326" s="72">
        <v>8187901.8399999999</v>
      </c>
      <c r="I326" s="72">
        <v>8570251.8900000006</v>
      </c>
      <c r="J326" s="34">
        <v>8468581.7899999991</v>
      </c>
      <c r="K326" s="72">
        <v>8546905.2699999996</v>
      </c>
      <c r="L326" s="34">
        <v>8447239.0700000003</v>
      </c>
      <c r="M326" s="72">
        <v>8129523.620000001</v>
      </c>
      <c r="N326" s="34">
        <v>8032996.8999999994</v>
      </c>
      <c r="O326" s="72">
        <v>7690688.5700000012</v>
      </c>
      <c r="P326" s="72">
        <v>7599070.8100000005</v>
      </c>
      <c r="Q326" s="72">
        <v>9604392.6899999958</v>
      </c>
      <c r="R326" s="72">
        <v>9490488.9100000001</v>
      </c>
      <c r="S326" s="22">
        <v>7352478.6399999987</v>
      </c>
      <c r="T326" s="34">
        <v>7265647.8100000015</v>
      </c>
      <c r="U326" s="34">
        <v>6580001.9499999993</v>
      </c>
      <c r="V326" s="34">
        <v>6503105.9199999999</v>
      </c>
      <c r="W326" s="34">
        <v>11807613.079999998</v>
      </c>
      <c r="X326" s="34">
        <v>11717968.300000001</v>
      </c>
      <c r="Y326" s="34">
        <v>7923650</v>
      </c>
      <c r="Z326" s="34">
        <v>7832459.7100000018</v>
      </c>
      <c r="AB326" s="271">
        <f>SUM(AB303:AB325)</f>
        <v>96644493.359999999</v>
      </c>
      <c r="AC326" s="22">
        <f>SUM(AC303:AC325)</f>
        <v>97794512.170000002</v>
      </c>
    </row>
    <row r="327" spans="1:30" s="36" customFormat="1" x14ac:dyDescent="0.2">
      <c r="A327" s="264" t="s">
        <v>45</v>
      </c>
      <c r="C327" s="35">
        <v>-96294.67</v>
      </c>
      <c r="E327" s="73">
        <v>-107694.56</v>
      </c>
      <c r="F327" s="74"/>
      <c r="G327" s="74">
        <v>-98083.09</v>
      </c>
      <c r="H327" s="74"/>
      <c r="I327" s="36">
        <v>-101670.1</v>
      </c>
      <c r="K327" s="36">
        <v>-99666.2</v>
      </c>
      <c r="M327" s="36">
        <v>-96526.720000000001</v>
      </c>
      <c r="O327" s="36">
        <v>-91617.76</v>
      </c>
      <c r="Q327" s="36">
        <v>-113903.78</v>
      </c>
      <c r="S327" s="36">
        <v>-86830.83</v>
      </c>
      <c r="U327" s="36">
        <v>-76896.03</v>
      </c>
      <c r="W327" s="36">
        <v>-89644.78</v>
      </c>
      <c r="Y327" s="36">
        <v>-91190.29</v>
      </c>
      <c r="AB327" s="22"/>
      <c r="AC327" s="107">
        <f>+C327+E327+G327+I327+K327+M327+O327+Q327+S327+U327+W327+Y327</f>
        <v>-1150018.81</v>
      </c>
    </row>
    <row r="328" spans="1:30" x14ac:dyDescent="0.2">
      <c r="A328" s="263" t="s">
        <v>27</v>
      </c>
      <c r="C328" s="22">
        <v>8009685.9700000007</v>
      </c>
      <c r="D328" s="22"/>
      <c r="E328" s="22">
        <v>8952346.629999999</v>
      </c>
      <c r="F328" s="70"/>
      <c r="G328" s="22">
        <v>8187901.8400000008</v>
      </c>
      <c r="H328" s="70"/>
      <c r="I328" s="22">
        <v>8468581.790000001</v>
      </c>
      <c r="J328" s="22"/>
      <c r="K328" s="22">
        <v>8447239.0700000003</v>
      </c>
      <c r="L328" s="22"/>
      <c r="M328" s="22">
        <v>8032996.9000000013</v>
      </c>
      <c r="N328" s="22"/>
      <c r="O328" s="22">
        <v>7599070.8100000015</v>
      </c>
      <c r="P328" s="22"/>
      <c r="Q328" s="22">
        <v>9490488.9099999964</v>
      </c>
      <c r="R328" s="22"/>
      <c r="S328" s="22">
        <v>7265647.8099999987</v>
      </c>
      <c r="T328" s="22"/>
      <c r="U328" s="22">
        <v>6503105.919999999</v>
      </c>
      <c r="V328" s="22"/>
      <c r="W328" s="22">
        <v>11717968.299999999</v>
      </c>
      <c r="X328" s="22"/>
      <c r="Y328" s="22">
        <v>7832459.71</v>
      </c>
      <c r="Z328" s="22"/>
      <c r="AB328" s="22"/>
      <c r="AC328" s="271">
        <f>+AC326+AC327</f>
        <v>96644493.359999999</v>
      </c>
    </row>
    <row r="329" spans="1:30" x14ac:dyDescent="0.2">
      <c r="E329" s="40"/>
      <c r="F329" s="40"/>
      <c r="G329" s="40"/>
      <c r="H329" s="40"/>
      <c r="AB329" s="93"/>
      <c r="AC329" s="93"/>
      <c r="AD329" s="20"/>
    </row>
    <row r="330" spans="1:30" x14ac:dyDescent="0.2">
      <c r="A330" s="9" t="s">
        <v>92</v>
      </c>
      <c r="C330" s="22"/>
      <c r="E330" s="40"/>
      <c r="F330" s="40"/>
      <c r="G330" s="40"/>
      <c r="H330" s="40"/>
      <c r="K330" s="37">
        <v>0</v>
      </c>
      <c r="W330" s="272">
        <v>7854968</v>
      </c>
      <c r="X330" s="40" t="s">
        <v>132</v>
      </c>
      <c r="AB330" s="93"/>
      <c r="AC330" s="93"/>
    </row>
    <row r="331" spans="1:30" s="60" customFormat="1" x14ac:dyDescent="0.2">
      <c r="C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39">
        <f>+W328-W330</f>
        <v>3863000.2999999989</v>
      </c>
      <c r="X331" s="40" t="s">
        <v>133</v>
      </c>
      <c r="Y331" s="40"/>
      <c r="Z331" s="40"/>
      <c r="AA331" s="40"/>
      <c r="AB331" s="70"/>
      <c r="AC331" s="70"/>
    </row>
    <row r="332" spans="1:30" s="23" customFormat="1" x14ac:dyDescent="0.2"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41"/>
      <c r="AB332" s="115"/>
      <c r="AC332" s="115"/>
    </row>
    <row r="333" spans="1:30" s="23" customFormat="1" x14ac:dyDescent="0.2"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41"/>
      <c r="AB333" s="115"/>
      <c r="AC333" s="115"/>
    </row>
    <row r="334" spans="1:30" s="23" customFormat="1" x14ac:dyDescent="0.2"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41"/>
      <c r="AB334" s="115"/>
      <c r="AC334" s="115"/>
    </row>
    <row r="335" spans="1:30" s="23" customFormat="1" x14ac:dyDescent="0.2"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41"/>
      <c r="AB335" s="115"/>
      <c r="AC335" s="115"/>
    </row>
    <row r="336" spans="1:30" s="23" customFormat="1" x14ac:dyDescent="0.2"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41"/>
      <c r="AB336" s="115"/>
      <c r="AC336" s="115"/>
    </row>
    <row r="337" spans="5:29" s="23" customFormat="1" x14ac:dyDescent="0.2"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41"/>
      <c r="AB337" s="115"/>
      <c r="AC337" s="115"/>
    </row>
    <row r="338" spans="5:29" s="23" customFormat="1" x14ac:dyDescent="0.2"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41"/>
      <c r="AB338" s="115"/>
      <c r="AC338" s="115"/>
    </row>
    <row r="339" spans="5:29" s="23" customFormat="1" x14ac:dyDescent="0.2"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41"/>
      <c r="AB339" s="41"/>
    </row>
    <row r="340" spans="5:29" s="23" customFormat="1" x14ac:dyDescent="0.2"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41"/>
      <c r="AB340" s="41"/>
    </row>
    <row r="341" spans="5:29" s="23" customFormat="1" x14ac:dyDescent="0.2"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41"/>
      <c r="AB341" s="41"/>
    </row>
    <row r="342" spans="5:29" s="23" customFormat="1" x14ac:dyDescent="0.2"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</row>
    <row r="352" spans="5:29" x14ac:dyDescent="0.2"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5:26" x14ac:dyDescent="0.2"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5:26" x14ac:dyDescent="0.2"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5:26" x14ac:dyDescent="0.2"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5:26" x14ac:dyDescent="0.2"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5:26" x14ac:dyDescent="0.2"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5:26" x14ac:dyDescent="0.2"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5:26" x14ac:dyDescent="0.2"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5:26" x14ac:dyDescent="0.2"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5:26" x14ac:dyDescent="0.2"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5:26" x14ac:dyDescent="0.2"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5:26" x14ac:dyDescent="0.2"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5:26" x14ac:dyDescent="0.2"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5:26" x14ac:dyDescent="0.2"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5:26" x14ac:dyDescent="0.2"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5:26" x14ac:dyDescent="0.2"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5:26" x14ac:dyDescent="0.2"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5:26" x14ac:dyDescent="0.2"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5:26" x14ac:dyDescent="0.2"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5:26" x14ac:dyDescent="0.2"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5:26" x14ac:dyDescent="0.2"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5:26" x14ac:dyDescent="0.2"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5:26" x14ac:dyDescent="0.2"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5:26" x14ac:dyDescent="0.2"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5:26" x14ac:dyDescent="0.2"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5:26" x14ac:dyDescent="0.2"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5:26" x14ac:dyDescent="0.2"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91" spans="5:26" x14ac:dyDescent="0.2"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5:26" x14ac:dyDescent="0.2"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5:26" x14ac:dyDescent="0.2"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5:26" x14ac:dyDescent="0.2"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5:26" x14ac:dyDescent="0.2"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5:26" x14ac:dyDescent="0.2"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5:26" x14ac:dyDescent="0.2"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5:26" x14ac:dyDescent="0.2"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5:26" x14ac:dyDescent="0.2"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5:26" x14ac:dyDescent="0.2"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5:26" x14ac:dyDescent="0.2"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5:26" x14ac:dyDescent="0.2"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5:26" x14ac:dyDescent="0.2"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5:26" x14ac:dyDescent="0.2"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5:26" x14ac:dyDescent="0.2"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5:26" x14ac:dyDescent="0.2"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5:26" x14ac:dyDescent="0.2"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5:26" x14ac:dyDescent="0.2"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5:26" x14ac:dyDescent="0.2"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5:26" x14ac:dyDescent="0.2"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5:26" x14ac:dyDescent="0.2"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5:26" x14ac:dyDescent="0.2"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5:26" x14ac:dyDescent="0.2"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5:26" x14ac:dyDescent="0.2"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5:26" x14ac:dyDescent="0.2"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5:26" x14ac:dyDescent="0.2"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5:26" x14ac:dyDescent="0.2"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24" spans="5:26" x14ac:dyDescent="0.2"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5:26" x14ac:dyDescent="0.2"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5:26" x14ac:dyDescent="0.2"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5:26" x14ac:dyDescent="0.2"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5:26" x14ac:dyDescent="0.2"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5:26" x14ac:dyDescent="0.2"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5:26" x14ac:dyDescent="0.2"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5:26" x14ac:dyDescent="0.2"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5:26" x14ac:dyDescent="0.2"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5:26" x14ac:dyDescent="0.2"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5:26" x14ac:dyDescent="0.2"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</sheetData>
  <phoneticPr fontId="6" type="noConversion"/>
  <pageMargins left="0.49" right="0.2" top="0.86" bottom="1.56" header="0.28000000000000003" footer="0.83"/>
  <pageSetup scale="66" orientation="landscape" r:id="rId1"/>
  <headerFooter alignWithMargins="0">
    <oddFooter>&amp;R&amp;F
&amp;D
hrh</oddFooter>
  </headerFooter>
  <rowBreaks count="1" manualBreakCount="1">
    <brk id="294" max="7" man="1"/>
  </rowBreaks>
  <ignoredErrors>
    <ignoredError sqref="W1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9"/>
  <sheetViews>
    <sheetView workbookViewId="0">
      <selection activeCell="AB25" sqref="AB25"/>
    </sheetView>
  </sheetViews>
  <sheetFormatPr defaultRowHeight="12.75" x14ac:dyDescent="0.2"/>
  <cols>
    <col min="1" max="1" width="32.28515625" style="4" customWidth="1"/>
    <col min="2" max="2" width="3.28515625" style="4" hidden="1" customWidth="1"/>
    <col min="3" max="3" width="9.85546875" style="4" hidden="1" customWidth="1"/>
    <col min="4" max="4" width="4.5703125" style="4" hidden="1" customWidth="1"/>
    <col min="5" max="5" width="9.85546875" style="4" hidden="1" customWidth="1"/>
    <col min="6" max="6" width="4.140625" style="4" hidden="1" customWidth="1"/>
    <col min="7" max="7" width="9.85546875" style="4" hidden="1" customWidth="1"/>
    <col min="8" max="8" width="12.28515625" style="4" hidden="1" customWidth="1"/>
    <col min="9" max="9" width="4.28515625" style="4" hidden="1" customWidth="1"/>
    <col min="10" max="10" width="12.7109375" style="4" hidden="1" customWidth="1"/>
    <col min="11" max="11" width="2.7109375" style="4" hidden="1" customWidth="1"/>
    <col min="12" max="12" width="12.7109375" style="4" hidden="1" customWidth="1"/>
    <col min="13" max="13" width="2.7109375" style="4" hidden="1" customWidth="1"/>
    <col min="14" max="14" width="11.7109375" style="4" hidden="1" customWidth="1"/>
    <col min="15" max="15" width="11.85546875" style="4" hidden="1" customWidth="1"/>
    <col min="16" max="16" width="5.42578125" style="4" hidden="1" customWidth="1"/>
    <col min="17" max="17" width="12.28515625" style="4" hidden="1" customWidth="1"/>
    <col min="18" max="18" width="3" style="4" hidden="1" customWidth="1"/>
    <col min="19" max="19" width="11.5703125" style="4" hidden="1" customWidth="1"/>
    <col min="20" max="20" width="3.28515625" style="4" hidden="1" customWidth="1"/>
    <col min="21" max="21" width="10" style="4" hidden="1" customWidth="1"/>
    <col min="22" max="22" width="11.7109375" style="4" hidden="1" customWidth="1"/>
    <col min="23" max="23" width="2.7109375" style="4" customWidth="1"/>
    <col min="24" max="24" width="15" style="9" customWidth="1"/>
    <col min="25" max="25" width="1.5703125" style="9" customWidth="1"/>
    <col min="26" max="26" width="14.42578125" style="9" customWidth="1"/>
    <col min="27" max="27" width="2" customWidth="1"/>
    <col min="28" max="28" width="15.85546875" customWidth="1"/>
    <col min="29" max="29" width="0.85546875" customWidth="1"/>
    <col min="30" max="30" width="14.140625" customWidth="1"/>
    <col min="31" max="31" width="12.85546875" customWidth="1"/>
    <col min="32" max="35" width="0" hidden="1" customWidth="1"/>
    <col min="36" max="36" width="2.140625" customWidth="1"/>
    <col min="37" max="37" width="13.5703125" style="9" customWidth="1"/>
    <col min="38" max="38" width="12.140625" customWidth="1"/>
    <col min="39" max="39" width="10.28515625" bestFit="1" customWidth="1"/>
  </cols>
  <sheetData>
    <row r="1" spans="1:38" s="1" customFormat="1" x14ac:dyDescent="0.2">
      <c r="A1" s="95"/>
      <c r="B1" s="16"/>
      <c r="C1" s="16"/>
      <c r="D1" s="16"/>
      <c r="E1" s="12" t="s">
        <v>0</v>
      </c>
      <c r="F1" s="16"/>
      <c r="G1" s="16"/>
      <c r="H1" s="16"/>
      <c r="I1" s="16"/>
      <c r="J1" s="16"/>
      <c r="K1" s="16"/>
      <c r="L1" s="12" t="s">
        <v>0</v>
      </c>
      <c r="M1" s="16"/>
      <c r="N1" s="16"/>
      <c r="O1" s="16"/>
      <c r="P1" s="16"/>
      <c r="Q1" s="16"/>
      <c r="R1" s="16"/>
      <c r="S1" s="12" t="s">
        <v>0</v>
      </c>
      <c r="T1" s="16"/>
      <c r="U1" s="16"/>
      <c r="V1" s="16"/>
      <c r="W1" s="16"/>
      <c r="Y1" s="20"/>
      <c r="Z1" s="20"/>
      <c r="AB1" s="24" t="s">
        <v>0</v>
      </c>
      <c r="AK1" s="20"/>
    </row>
    <row r="2" spans="1:38" s="1" customFormat="1" x14ac:dyDescent="0.2">
      <c r="A2" s="95"/>
      <c r="B2" s="16"/>
      <c r="C2" s="16"/>
      <c r="D2" s="16"/>
      <c r="E2" s="12" t="s">
        <v>86</v>
      </c>
      <c r="F2" s="16"/>
      <c r="G2" s="16"/>
      <c r="H2" s="16"/>
      <c r="I2" s="16"/>
      <c r="J2" s="16"/>
      <c r="K2" s="16"/>
      <c r="L2" s="12" t="s">
        <v>86</v>
      </c>
      <c r="M2" s="16"/>
      <c r="N2" s="16"/>
      <c r="O2" s="16"/>
      <c r="P2" s="16"/>
      <c r="Q2" s="16"/>
      <c r="R2" s="16"/>
      <c r="S2" s="12" t="s">
        <v>86</v>
      </c>
      <c r="T2" s="16"/>
      <c r="U2" s="16"/>
      <c r="V2" s="16"/>
      <c r="W2" s="16"/>
      <c r="Y2" s="20"/>
      <c r="Z2" s="20"/>
      <c r="AB2" s="24" t="s">
        <v>86</v>
      </c>
      <c r="AK2" s="20"/>
    </row>
    <row r="3" spans="1:38" s="1" customFormat="1" x14ac:dyDescent="0.2">
      <c r="B3" s="16"/>
      <c r="C3" s="16"/>
      <c r="D3" s="16"/>
      <c r="E3" s="12" t="s">
        <v>82</v>
      </c>
      <c r="F3" s="16"/>
      <c r="G3" s="16"/>
      <c r="H3" s="16"/>
      <c r="I3" s="16"/>
      <c r="J3" s="16"/>
      <c r="K3" s="16"/>
      <c r="L3" s="12" t="s">
        <v>82</v>
      </c>
      <c r="M3" s="16"/>
      <c r="N3" s="16"/>
      <c r="O3" s="16"/>
      <c r="P3" s="16"/>
      <c r="Q3" s="16"/>
      <c r="R3" s="16"/>
      <c r="S3" s="12" t="s">
        <v>82</v>
      </c>
      <c r="T3" s="16"/>
      <c r="U3" s="16"/>
      <c r="V3" s="16"/>
      <c r="W3" s="16"/>
      <c r="Y3" s="20"/>
      <c r="Z3" s="20"/>
      <c r="AB3" s="305" t="s">
        <v>175</v>
      </c>
      <c r="AK3" s="20"/>
    </row>
    <row r="4" spans="1:38" s="1" customForma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Y4" s="20"/>
      <c r="Z4" s="20"/>
      <c r="AB4" s="20"/>
      <c r="AK4" s="20"/>
    </row>
    <row r="5" spans="1:38" s="1" customFormat="1" x14ac:dyDescent="0.2">
      <c r="A5" s="16"/>
      <c r="B5" s="16"/>
      <c r="C5" s="16"/>
      <c r="D5" s="16"/>
      <c r="E5" s="12" t="s">
        <v>89</v>
      </c>
      <c r="F5" s="16"/>
      <c r="G5" s="16"/>
      <c r="H5" s="16"/>
      <c r="I5" s="16"/>
      <c r="J5" s="16"/>
      <c r="K5" s="16"/>
      <c r="L5" s="12" t="s">
        <v>88</v>
      </c>
      <c r="M5" s="16"/>
      <c r="N5" s="16"/>
      <c r="O5" s="16"/>
      <c r="P5" s="16"/>
      <c r="Q5" s="16"/>
      <c r="R5" s="16"/>
      <c r="S5" s="12" t="s">
        <v>95</v>
      </c>
      <c r="T5" s="16"/>
      <c r="U5" s="16"/>
      <c r="V5" s="16"/>
      <c r="W5" s="16"/>
      <c r="Y5" s="20"/>
      <c r="Z5" s="20"/>
      <c r="AB5" s="24" t="s">
        <v>152</v>
      </c>
      <c r="AK5" s="20"/>
    </row>
    <row r="6" spans="1:38" ht="13.5" thickBot="1" x14ac:dyDescent="0.25">
      <c r="A6" s="17"/>
      <c r="E6" s="12" t="s">
        <v>91</v>
      </c>
      <c r="L6" s="12" t="s">
        <v>90</v>
      </c>
      <c r="S6" s="12" t="s">
        <v>94</v>
      </c>
      <c r="AB6" s="24" t="s">
        <v>198</v>
      </c>
    </row>
    <row r="7" spans="1:38" ht="13.5" thickTop="1" x14ac:dyDescent="0.2">
      <c r="A7" s="5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55"/>
      <c r="X7" s="25"/>
      <c r="Y7" s="25"/>
      <c r="Z7" s="25"/>
      <c r="AA7" s="11"/>
      <c r="AB7" s="11"/>
      <c r="AC7" s="55"/>
      <c r="AD7" s="11"/>
      <c r="AE7" s="11"/>
      <c r="AJ7" s="55"/>
      <c r="AK7" s="25"/>
      <c r="AL7" s="86"/>
    </row>
    <row r="8" spans="1:38" s="1" customFormat="1" ht="13.5" customHeight="1" x14ac:dyDescent="0.2">
      <c r="A8" s="56"/>
      <c r="B8" s="16"/>
      <c r="C8" s="18" t="s">
        <v>32</v>
      </c>
      <c r="D8" s="16"/>
      <c r="E8" s="18" t="s">
        <v>32</v>
      </c>
      <c r="F8" s="16"/>
      <c r="G8" s="19" t="s">
        <v>19</v>
      </c>
      <c r="H8" s="12" t="s">
        <v>20</v>
      </c>
      <c r="I8" s="16"/>
      <c r="J8" s="18" t="s">
        <v>33</v>
      </c>
      <c r="K8" s="16"/>
      <c r="L8" s="18" t="s">
        <v>33</v>
      </c>
      <c r="M8" s="16"/>
      <c r="N8" s="12" t="s">
        <v>19</v>
      </c>
      <c r="O8" s="12" t="s">
        <v>20</v>
      </c>
      <c r="P8" s="16"/>
      <c r="Q8" s="18" t="s">
        <v>34</v>
      </c>
      <c r="R8" s="16"/>
      <c r="S8" s="18" t="s">
        <v>34</v>
      </c>
      <c r="T8" s="16"/>
      <c r="U8" s="12" t="s">
        <v>19</v>
      </c>
      <c r="V8" s="12" t="s">
        <v>20</v>
      </c>
      <c r="W8" s="57"/>
      <c r="X8" s="26" t="s">
        <v>199</v>
      </c>
      <c r="Y8" s="26"/>
      <c r="Z8" s="26" t="s">
        <v>199</v>
      </c>
      <c r="AA8" s="26"/>
      <c r="AB8" s="26" t="s">
        <v>199</v>
      </c>
      <c r="AC8" s="57"/>
      <c r="AD8" s="6" t="s">
        <v>109</v>
      </c>
      <c r="AE8" s="6" t="s">
        <v>110</v>
      </c>
      <c r="AJ8" s="57"/>
      <c r="AK8" s="24" t="s">
        <v>109</v>
      </c>
      <c r="AL8" s="87" t="s">
        <v>110</v>
      </c>
    </row>
    <row r="9" spans="1:38" s="1" customFormat="1" x14ac:dyDescent="0.2">
      <c r="A9" s="57" t="s">
        <v>30</v>
      </c>
      <c r="B9" s="16"/>
      <c r="C9" s="12">
        <v>2007</v>
      </c>
      <c r="D9" s="16"/>
      <c r="E9" s="12">
        <v>2006</v>
      </c>
      <c r="F9" s="16"/>
      <c r="G9" s="18" t="s">
        <v>21</v>
      </c>
      <c r="H9" s="12" t="s">
        <v>21</v>
      </c>
      <c r="I9" s="16"/>
      <c r="J9" s="12">
        <v>2007</v>
      </c>
      <c r="K9" s="16"/>
      <c r="L9" s="12">
        <v>2006</v>
      </c>
      <c r="M9" s="16"/>
      <c r="N9" s="12" t="s">
        <v>21</v>
      </c>
      <c r="O9" s="12" t="s">
        <v>21</v>
      </c>
      <c r="P9" s="16"/>
      <c r="Q9" s="12">
        <v>2007</v>
      </c>
      <c r="R9" s="16"/>
      <c r="S9" s="12">
        <v>2006</v>
      </c>
      <c r="T9" s="16"/>
      <c r="U9" s="12" t="s">
        <v>21</v>
      </c>
      <c r="V9" s="12" t="s">
        <v>21</v>
      </c>
      <c r="W9" s="57"/>
      <c r="X9" s="27" t="s">
        <v>190</v>
      </c>
      <c r="Y9" s="20"/>
      <c r="Z9" s="27" t="s">
        <v>157</v>
      </c>
      <c r="AB9" s="6" t="s">
        <v>111</v>
      </c>
      <c r="AC9" s="57"/>
      <c r="AD9" s="6" t="s">
        <v>192</v>
      </c>
      <c r="AE9" s="6" t="s">
        <v>192</v>
      </c>
      <c r="AJ9" s="57"/>
      <c r="AK9" s="24" t="s">
        <v>192</v>
      </c>
      <c r="AL9" s="87" t="s">
        <v>192</v>
      </c>
    </row>
    <row r="10" spans="1:38" s="3" customFormat="1" x14ac:dyDescent="0.2">
      <c r="A10" s="58"/>
      <c r="C10" s="5"/>
      <c r="E10" s="5"/>
      <c r="G10" s="13"/>
      <c r="H10" s="14"/>
      <c r="J10" s="5"/>
      <c r="L10" s="5"/>
      <c r="Q10" s="5"/>
      <c r="S10" s="5"/>
      <c r="W10" s="58"/>
      <c r="X10" s="28"/>
      <c r="Y10" s="29"/>
      <c r="Z10" s="28"/>
      <c r="AC10" s="58"/>
      <c r="AD10" s="5" t="s">
        <v>172</v>
      </c>
      <c r="AE10" s="5" t="s">
        <v>172</v>
      </c>
      <c r="AJ10" s="58"/>
      <c r="AK10" s="28" t="s">
        <v>112</v>
      </c>
      <c r="AL10" s="88" t="s">
        <v>112</v>
      </c>
    </row>
    <row r="11" spans="1:38" s="23" customFormat="1" x14ac:dyDescent="0.2">
      <c r="A11" s="59"/>
      <c r="C11" s="27"/>
      <c r="E11" s="27"/>
      <c r="G11" s="333"/>
      <c r="H11" s="334"/>
      <c r="J11" s="27"/>
      <c r="L11" s="27"/>
      <c r="Q11" s="27"/>
      <c r="S11" s="27"/>
      <c r="W11" s="59"/>
      <c r="X11" s="27"/>
      <c r="Z11" s="27"/>
      <c r="AC11" s="59"/>
      <c r="AJ11" s="59"/>
      <c r="AL11" s="335"/>
    </row>
    <row r="12" spans="1:38" s="9" customFormat="1" x14ac:dyDescent="0.2">
      <c r="A12" s="59" t="s">
        <v>48</v>
      </c>
      <c r="B12" s="23"/>
      <c r="C12" s="325">
        <v>58752.39</v>
      </c>
      <c r="D12" s="326"/>
      <c r="E12" s="326">
        <v>73342.990000000005</v>
      </c>
      <c r="F12" s="326"/>
      <c r="G12" s="326">
        <f>+C12-E12</f>
        <v>-14590.600000000006</v>
      </c>
      <c r="H12" s="327">
        <f>+G12/E12</f>
        <v>-0.19893653094862923</v>
      </c>
      <c r="I12" s="23"/>
      <c r="J12" s="325">
        <v>47049.45</v>
      </c>
      <c r="K12" s="326"/>
      <c r="L12" s="326">
        <v>45983.53</v>
      </c>
      <c r="M12" s="326"/>
      <c r="N12" s="326">
        <f>+J12-L12</f>
        <v>1065.9199999999983</v>
      </c>
      <c r="O12" s="327">
        <f t="shared" ref="O12:O33" si="0">+N12/L12</f>
        <v>2.3180473530414004E-2</v>
      </c>
      <c r="P12" s="23"/>
      <c r="Q12" s="325">
        <v>33451.730000000003</v>
      </c>
      <c r="R12" s="326"/>
      <c r="S12" s="326">
        <v>29468.92</v>
      </c>
      <c r="T12" s="326"/>
      <c r="U12" s="326">
        <f t="shared" ref="U12:U32" si="1">+Q12-S12</f>
        <v>3982.8100000000049</v>
      </c>
      <c r="V12" s="327">
        <f>+U12/S12</f>
        <v>0.13515290007234759</v>
      </c>
      <c r="W12" s="59"/>
      <c r="X12" s="30">
        <f>+'Detail Month'!K12</f>
        <v>116742</v>
      </c>
      <c r="Y12" s="31"/>
      <c r="Z12" s="31">
        <f>+'Detail Month'!M12</f>
        <v>112857</v>
      </c>
      <c r="AA12" s="31"/>
      <c r="AB12" s="31">
        <f>+'Detail Month'!D303+'Detail Month'!F303+'Detail Month'!H303+'Detail Month'!J303+'Detail Month'!L303+'Detail Month'!N303+'Detail Month'!P303+'Detail Month'!R303+'Detail Month'!T303+'Detail Month'!V303</f>
        <v>346471.37</v>
      </c>
      <c r="AC12" s="328"/>
      <c r="AD12" s="31">
        <f t="shared" ref="AD12:AD32" si="2">+X12-Z12</f>
        <v>3885</v>
      </c>
      <c r="AE12" s="329">
        <f>+AD12/Z12</f>
        <v>3.4424094207714188E-2</v>
      </c>
      <c r="AJ12" s="59"/>
      <c r="AK12" s="31">
        <f>+X12-AB12</f>
        <v>-229729.37</v>
      </c>
      <c r="AL12" s="344">
        <f t="shared" ref="AL12:AL33" si="3">+AK12/AB12</f>
        <v>-0.66305441052748459</v>
      </c>
    </row>
    <row r="13" spans="1:38" s="9" customFormat="1" x14ac:dyDescent="0.2">
      <c r="A13" s="59" t="s">
        <v>22</v>
      </c>
      <c r="B13" s="23"/>
      <c r="C13" s="325">
        <v>64.900000000000006</v>
      </c>
      <c r="D13" s="326"/>
      <c r="E13" s="326">
        <v>0</v>
      </c>
      <c r="F13" s="326"/>
      <c r="G13" s="326">
        <f t="shared" ref="G13:G35" si="4">+C13-E13</f>
        <v>64.900000000000006</v>
      </c>
      <c r="H13" s="327">
        <v>0</v>
      </c>
      <c r="I13" s="23"/>
      <c r="J13" s="325">
        <v>0</v>
      </c>
      <c r="K13" s="326"/>
      <c r="L13" s="326">
        <v>0</v>
      </c>
      <c r="M13" s="326"/>
      <c r="N13" s="326">
        <f t="shared" ref="N13:N35" si="5">+J13-L13</f>
        <v>0</v>
      </c>
      <c r="O13" s="327">
        <v>0</v>
      </c>
      <c r="P13" s="23"/>
      <c r="Q13" s="325">
        <v>0</v>
      </c>
      <c r="R13" s="326"/>
      <c r="S13" s="326">
        <v>0</v>
      </c>
      <c r="T13" s="326"/>
      <c r="U13" s="326">
        <f t="shared" si="1"/>
        <v>0</v>
      </c>
      <c r="V13" s="327">
        <v>0</v>
      </c>
      <c r="W13" s="59"/>
      <c r="X13" s="30">
        <f>+'Detail Month'!K13</f>
        <v>16642</v>
      </c>
      <c r="Y13" s="31"/>
      <c r="Z13" s="31">
        <f>+'Detail Month'!M13</f>
        <v>14026</v>
      </c>
      <c r="AA13" s="31"/>
      <c r="AB13" s="31">
        <f>+'Detail Month'!D304+'Detail Month'!F304+'Detail Month'!H304+'Detail Month'!J304+'Detail Month'!L304+'Detail Month'!N304+'Detail Month'!P304+'Detail Month'!R304+'Detail Month'!T304+'Detail Month'!V304</f>
        <v>112.35</v>
      </c>
      <c r="AC13" s="328"/>
      <c r="AD13" s="31">
        <f t="shared" si="2"/>
        <v>2616</v>
      </c>
      <c r="AE13" s="329">
        <v>0</v>
      </c>
      <c r="AJ13" s="59"/>
      <c r="AK13" s="31">
        <f t="shared" ref="AK13:AK34" si="6">+X13-AB13</f>
        <v>16529.650000000001</v>
      </c>
      <c r="AL13" s="344">
        <v>0</v>
      </c>
    </row>
    <row r="14" spans="1:38" s="9" customFormat="1" x14ac:dyDescent="0.2">
      <c r="A14" s="59" t="s">
        <v>49</v>
      </c>
      <c r="B14" s="23"/>
      <c r="C14" s="325">
        <v>433.44</v>
      </c>
      <c r="D14" s="326"/>
      <c r="E14" s="326">
        <v>137663.51999999999</v>
      </c>
      <c r="F14" s="326"/>
      <c r="G14" s="326">
        <f t="shared" si="4"/>
        <v>-137230.07999999999</v>
      </c>
      <c r="H14" s="327">
        <f t="shared" ref="H14:H30" si="7">+G14/E14</f>
        <v>-0.9968514534569507</v>
      </c>
      <c r="I14" s="23"/>
      <c r="J14" s="325">
        <v>310169.82</v>
      </c>
      <c r="K14" s="326"/>
      <c r="L14" s="326">
        <v>135329.01</v>
      </c>
      <c r="M14" s="326"/>
      <c r="N14" s="326">
        <f t="shared" si="5"/>
        <v>174840.81</v>
      </c>
      <c r="O14" s="327">
        <f t="shared" si="0"/>
        <v>1.2919684404696377</v>
      </c>
      <c r="P14" s="23"/>
      <c r="Q14" s="325">
        <v>0</v>
      </c>
      <c r="R14" s="326"/>
      <c r="S14" s="326">
        <v>152185.04999999999</v>
      </c>
      <c r="T14" s="326"/>
      <c r="U14" s="326">
        <f t="shared" si="1"/>
        <v>-152185.04999999999</v>
      </c>
      <c r="V14" s="327">
        <f t="shared" ref="V14:V19" si="8">+U14/S14</f>
        <v>-1</v>
      </c>
      <c r="W14" s="59"/>
      <c r="X14" s="30">
        <f>+'Detail Month'!K14</f>
        <v>2234452</v>
      </c>
      <c r="Y14" s="31"/>
      <c r="Z14" s="31">
        <f>+'Detail Month'!M14</f>
        <v>2333254</v>
      </c>
      <c r="AA14" s="31"/>
      <c r="AB14" s="31">
        <f>+'Detail Month'!D305+'Detail Month'!F305+'Detail Month'!H305+'Detail Month'!J305+'Detail Month'!L305+'Detail Month'!N305+'Detail Month'!P305+'Detail Month'!R305+'Detail Month'!T305+'Detail Month'!V305</f>
        <v>1863654.53</v>
      </c>
      <c r="AC14" s="328"/>
      <c r="AD14" s="31">
        <f t="shared" si="2"/>
        <v>-98802</v>
      </c>
      <c r="AE14" s="329">
        <f>+AD14/Z14</f>
        <v>-4.2345154020951001E-2</v>
      </c>
      <c r="AJ14" s="59"/>
      <c r="AK14" s="31">
        <f t="shared" si="6"/>
        <v>370797.47</v>
      </c>
      <c r="AL14" s="344">
        <f t="shared" si="3"/>
        <v>0.1989625566493807</v>
      </c>
    </row>
    <row r="15" spans="1:38" s="9" customFormat="1" x14ac:dyDescent="0.2">
      <c r="A15" s="59" t="s">
        <v>23</v>
      </c>
      <c r="B15" s="23"/>
      <c r="C15" s="325">
        <v>786948.78</v>
      </c>
      <c r="D15" s="326"/>
      <c r="E15" s="326">
        <v>783855.4</v>
      </c>
      <c r="F15" s="326"/>
      <c r="G15" s="326">
        <f t="shared" si="4"/>
        <v>3093.3800000000047</v>
      </c>
      <c r="H15" s="327">
        <f t="shared" si="7"/>
        <v>3.9463656179443357E-3</v>
      </c>
      <c r="I15" s="23"/>
      <c r="J15" s="325">
        <v>622820.97</v>
      </c>
      <c r="K15" s="326"/>
      <c r="L15" s="326">
        <v>1039829.82</v>
      </c>
      <c r="M15" s="326"/>
      <c r="N15" s="326">
        <f t="shared" si="5"/>
        <v>-417008.85</v>
      </c>
      <c r="O15" s="327">
        <f t="shared" si="0"/>
        <v>-0.40103567139476726</v>
      </c>
      <c r="P15" s="23"/>
      <c r="Q15" s="325">
        <v>672604.46</v>
      </c>
      <c r="R15" s="326"/>
      <c r="S15" s="326">
        <v>908399.66</v>
      </c>
      <c r="T15" s="326"/>
      <c r="U15" s="326">
        <f t="shared" si="1"/>
        <v>-235795.20000000007</v>
      </c>
      <c r="V15" s="327">
        <f t="shared" si="8"/>
        <v>-0.25957209186978347</v>
      </c>
      <c r="W15" s="59"/>
      <c r="X15" s="30">
        <f>+'Detail Month'!K15</f>
        <v>7045481</v>
      </c>
      <c r="Y15" s="31"/>
      <c r="Z15" s="31">
        <f>+'Detail Month'!M15</f>
        <v>6730861</v>
      </c>
      <c r="AA15" s="31"/>
      <c r="AB15" s="31">
        <f>+'Detail Month'!D306+'Detail Month'!F306+'Detail Month'!H306+'Detail Month'!J306+'Detail Month'!L306+'Detail Month'!N306+'Detail Month'!P306+'Detail Month'!R306+'Detail Month'!T306+'Detail Month'!V306</f>
        <v>11352630.470000003</v>
      </c>
      <c r="AC15" s="328"/>
      <c r="AD15" s="31">
        <f t="shared" si="2"/>
        <v>314620</v>
      </c>
      <c r="AE15" s="329">
        <f t="shared" ref="AE15:AE30" si="9">+AD15/Z15</f>
        <v>4.6742905551013458E-2</v>
      </c>
      <c r="AJ15" s="59"/>
      <c r="AK15" s="31">
        <f t="shared" si="6"/>
        <v>-4307149.4700000025</v>
      </c>
      <c r="AL15" s="344">
        <f t="shared" si="3"/>
        <v>-0.37939660604490738</v>
      </c>
    </row>
    <row r="16" spans="1:38" s="9" customFormat="1" x14ac:dyDescent="0.2">
      <c r="A16" s="59" t="s">
        <v>24</v>
      </c>
      <c r="B16" s="23"/>
      <c r="C16" s="325">
        <v>133651.92000000001</v>
      </c>
      <c r="D16" s="326"/>
      <c r="E16" s="326">
        <v>123236.58</v>
      </c>
      <c r="F16" s="326"/>
      <c r="G16" s="326">
        <f t="shared" si="4"/>
        <v>10415.340000000011</v>
      </c>
      <c r="H16" s="327">
        <f t="shared" si="7"/>
        <v>8.4515003580917375E-2</v>
      </c>
      <c r="I16" s="23"/>
      <c r="J16" s="325">
        <v>153634.57999999999</v>
      </c>
      <c r="K16" s="326"/>
      <c r="L16" s="326">
        <v>106564.49</v>
      </c>
      <c r="M16" s="326"/>
      <c r="N16" s="326">
        <f t="shared" si="5"/>
        <v>47070.089999999982</v>
      </c>
      <c r="O16" s="327">
        <f t="shared" si="0"/>
        <v>0.44170520592741519</v>
      </c>
      <c r="P16" s="23"/>
      <c r="Q16" s="325">
        <v>137272.6</v>
      </c>
      <c r="R16" s="326"/>
      <c r="S16" s="326">
        <v>141918.44</v>
      </c>
      <c r="T16" s="326"/>
      <c r="U16" s="326">
        <f t="shared" si="1"/>
        <v>-4645.8399999999965</v>
      </c>
      <c r="V16" s="327">
        <f t="shared" si="8"/>
        <v>-3.2735985542118394E-2</v>
      </c>
      <c r="W16" s="59"/>
      <c r="X16" s="30">
        <f>+'Detail Month'!K16</f>
        <v>1374453</v>
      </c>
      <c r="Y16" s="31"/>
      <c r="Z16" s="31">
        <f>+'Detail Month'!M16</f>
        <v>1182392</v>
      </c>
      <c r="AA16" s="31"/>
      <c r="AB16" s="31">
        <f>+'Detail Month'!D307+'Detail Month'!F307+'Detail Month'!H307+'Detail Month'!J307+'Detail Month'!L307+'Detail Month'!N307+'Detail Month'!P307+'Detail Month'!R307+'Detail Month'!T307+'Detail Month'!V307</f>
        <v>1706011.05</v>
      </c>
      <c r="AC16" s="328"/>
      <c r="AD16" s="31">
        <f t="shared" si="2"/>
        <v>192061</v>
      </c>
      <c r="AE16" s="329">
        <f t="shared" si="9"/>
        <v>0.16243428575294827</v>
      </c>
      <c r="AJ16" s="59"/>
      <c r="AK16" s="31">
        <f t="shared" si="6"/>
        <v>-331558.05000000005</v>
      </c>
      <c r="AL16" s="344">
        <f t="shared" si="3"/>
        <v>-0.19434695337993271</v>
      </c>
    </row>
    <row r="17" spans="1:38" s="9" customFormat="1" x14ac:dyDescent="0.2">
      <c r="A17" s="59" t="s">
        <v>25</v>
      </c>
      <c r="B17" s="23"/>
      <c r="C17" s="325">
        <v>119792.29</v>
      </c>
      <c r="D17" s="326"/>
      <c r="E17" s="326">
        <v>130918.41</v>
      </c>
      <c r="F17" s="326"/>
      <c r="G17" s="326">
        <f t="shared" si="4"/>
        <v>-11126.12000000001</v>
      </c>
      <c r="H17" s="327">
        <f t="shared" si="7"/>
        <v>-8.4985144564465834E-2</v>
      </c>
      <c r="I17" s="23"/>
      <c r="J17" s="325">
        <v>150785.93</v>
      </c>
      <c r="K17" s="326"/>
      <c r="L17" s="326">
        <v>109203.88</v>
      </c>
      <c r="M17" s="326"/>
      <c r="N17" s="326">
        <f t="shared" si="5"/>
        <v>41582.049999999988</v>
      </c>
      <c r="O17" s="327">
        <f t="shared" si="0"/>
        <v>0.38077447431354988</v>
      </c>
      <c r="P17" s="23"/>
      <c r="Q17" s="325">
        <v>122006.81</v>
      </c>
      <c r="R17" s="326"/>
      <c r="S17" s="326">
        <v>129779.49</v>
      </c>
      <c r="T17" s="326"/>
      <c r="U17" s="326">
        <f t="shared" si="1"/>
        <v>-7772.6800000000076</v>
      </c>
      <c r="V17" s="327">
        <f t="shared" si="8"/>
        <v>-5.9891435850148646E-2</v>
      </c>
      <c r="W17" s="59"/>
      <c r="X17" s="30">
        <f>+'Detail Month'!K17</f>
        <v>1434299</v>
      </c>
      <c r="Y17" s="31"/>
      <c r="Z17" s="31">
        <f>+'Detail Month'!M17</f>
        <v>1306908</v>
      </c>
      <c r="AA17" s="31"/>
      <c r="AB17" s="31">
        <f>+'Detail Month'!D308+'Detail Month'!F308+'Detail Month'!H308+'Detail Month'!J308+'Detail Month'!L308+'Detail Month'!N308+'Detail Month'!P308+'Detail Month'!R308+'Detail Month'!T308+'Detail Month'!V308</f>
        <v>1618479.99</v>
      </c>
      <c r="AC17" s="328"/>
      <c r="AD17" s="31">
        <f t="shared" si="2"/>
        <v>127391</v>
      </c>
      <c r="AE17" s="329">
        <f t="shared" si="9"/>
        <v>9.7475109189017126E-2</v>
      </c>
      <c r="AJ17" s="59"/>
      <c r="AK17" s="31">
        <f t="shared" si="6"/>
        <v>-184180.99</v>
      </c>
      <c r="AL17" s="344">
        <f t="shared" si="3"/>
        <v>-0.11379874396840704</v>
      </c>
    </row>
    <row r="18" spans="1:38" s="9" customFormat="1" x14ac:dyDescent="0.2">
      <c r="A18" s="59" t="s">
        <v>26</v>
      </c>
      <c r="B18" s="23"/>
      <c r="C18" s="325">
        <v>2052888.74</v>
      </c>
      <c r="D18" s="326"/>
      <c r="E18" s="326">
        <v>2237284.89</v>
      </c>
      <c r="F18" s="326"/>
      <c r="G18" s="326">
        <f t="shared" si="4"/>
        <v>-184396.15000000014</v>
      </c>
      <c r="H18" s="327">
        <f t="shared" si="7"/>
        <v>-8.2419610852509775E-2</v>
      </c>
      <c r="I18" s="23"/>
      <c r="J18" s="325">
        <v>2464891.92</v>
      </c>
      <c r="K18" s="326"/>
      <c r="L18" s="326">
        <v>2290048.23</v>
      </c>
      <c r="M18" s="326"/>
      <c r="N18" s="326">
        <f t="shared" si="5"/>
        <v>174843.68999999994</v>
      </c>
      <c r="O18" s="327">
        <f t="shared" si="0"/>
        <v>7.6349348327917066E-2</v>
      </c>
      <c r="P18" s="23"/>
      <c r="Q18" s="325">
        <v>2248232.25</v>
      </c>
      <c r="R18" s="326"/>
      <c r="S18" s="326">
        <v>2350889.81</v>
      </c>
      <c r="T18" s="326"/>
      <c r="U18" s="326">
        <f t="shared" si="1"/>
        <v>-102657.56000000006</v>
      </c>
      <c r="V18" s="327">
        <f t="shared" si="8"/>
        <v>-4.366753369865517E-2</v>
      </c>
      <c r="W18" s="59"/>
      <c r="X18" s="30">
        <f>+'Detail Month'!K18</f>
        <v>23544720</v>
      </c>
      <c r="Y18" s="31"/>
      <c r="Z18" s="31">
        <f>+'Detail Month'!M18</f>
        <v>23107654</v>
      </c>
      <c r="AA18" s="31"/>
      <c r="AB18" s="31">
        <f>+'Detail Month'!D309+'Detail Month'!F309+'Detail Month'!H309+'Detail Month'!J309+'Detail Month'!L309+'Detail Month'!N309+'Detail Month'!P309+'Detail Month'!R309+'Detail Month'!T309+'Detail Month'!V309</f>
        <v>24794171.689999998</v>
      </c>
      <c r="AC18" s="328"/>
      <c r="AD18" s="31">
        <f t="shared" si="2"/>
        <v>437066</v>
      </c>
      <c r="AE18" s="329">
        <f t="shared" si="9"/>
        <v>1.8914338945874819E-2</v>
      </c>
      <c r="AJ18" s="59"/>
      <c r="AK18" s="31">
        <f t="shared" si="6"/>
        <v>-1249451.6899999976</v>
      </c>
      <c r="AL18" s="344">
        <f t="shared" si="3"/>
        <v>-5.0392959507654267E-2</v>
      </c>
    </row>
    <row r="19" spans="1:38" s="9" customFormat="1" x14ac:dyDescent="0.2">
      <c r="A19" s="59" t="s">
        <v>50</v>
      </c>
      <c r="B19" s="23"/>
      <c r="C19" s="325">
        <v>44264.41</v>
      </c>
      <c r="D19" s="326"/>
      <c r="E19" s="326">
        <v>41908.18</v>
      </c>
      <c r="F19" s="326"/>
      <c r="G19" s="326">
        <f t="shared" si="4"/>
        <v>2356.2300000000032</v>
      </c>
      <c r="H19" s="327">
        <f t="shared" si="7"/>
        <v>5.6223629849828913E-2</v>
      </c>
      <c r="I19" s="23"/>
      <c r="J19" s="325">
        <v>44206.49</v>
      </c>
      <c r="K19" s="326"/>
      <c r="L19" s="326">
        <v>43868.86</v>
      </c>
      <c r="M19" s="326"/>
      <c r="N19" s="326">
        <f t="shared" si="5"/>
        <v>337.62999999999738</v>
      </c>
      <c r="O19" s="327">
        <f t="shared" si="0"/>
        <v>7.6963477054110222E-3</v>
      </c>
      <c r="P19" s="23"/>
      <c r="Q19" s="325">
        <v>52981.599999999999</v>
      </c>
      <c r="R19" s="326"/>
      <c r="S19" s="326">
        <v>53545.26</v>
      </c>
      <c r="T19" s="326"/>
      <c r="U19" s="326">
        <f t="shared" si="1"/>
        <v>-563.66000000000349</v>
      </c>
      <c r="V19" s="327">
        <f t="shared" si="8"/>
        <v>-1.0526795462380861E-2</v>
      </c>
      <c r="W19" s="59"/>
      <c r="X19" s="30">
        <f>+'Detail Month'!K19</f>
        <v>212327</v>
      </c>
      <c r="Y19" s="31"/>
      <c r="Z19" s="31">
        <f>+'Detail Month'!M19</f>
        <v>165803</v>
      </c>
      <c r="AA19" s="31"/>
      <c r="AB19" s="31">
        <f>+'Detail Month'!D310+'Detail Month'!F310+'Detail Month'!H310+'Detail Month'!J310+'Detail Month'!L310+'Detail Month'!N310+'Detail Month'!P310+'Detail Month'!R310+'Detail Month'!T310+'Detail Month'!V310</f>
        <v>541910.31000000006</v>
      </c>
      <c r="AC19" s="328"/>
      <c r="AD19" s="31">
        <f t="shared" si="2"/>
        <v>46524</v>
      </c>
      <c r="AE19" s="329">
        <f t="shared" si="9"/>
        <v>0.28059805914247632</v>
      </c>
      <c r="AJ19" s="59"/>
      <c r="AK19" s="31">
        <f t="shared" si="6"/>
        <v>-329583.31000000006</v>
      </c>
      <c r="AL19" s="344">
        <f t="shared" si="3"/>
        <v>-0.60818793058209208</v>
      </c>
    </row>
    <row r="20" spans="1:38" s="9" customFormat="1" x14ac:dyDescent="0.2">
      <c r="A20" s="59" t="s">
        <v>55</v>
      </c>
      <c r="B20" s="23"/>
      <c r="C20" s="325">
        <v>262215.01</v>
      </c>
      <c r="D20" s="326"/>
      <c r="E20" s="326">
        <v>134907.71</v>
      </c>
      <c r="F20" s="326"/>
      <c r="G20" s="326">
        <f>+C20-E20</f>
        <v>127307.30000000002</v>
      </c>
      <c r="H20" s="327">
        <f t="shared" si="7"/>
        <v>0.94366215244480856</v>
      </c>
      <c r="I20" s="23"/>
      <c r="J20" s="325">
        <v>303179.63</v>
      </c>
      <c r="K20" s="326"/>
      <c r="L20" s="326">
        <v>147831.34</v>
      </c>
      <c r="M20" s="326"/>
      <c r="N20" s="326">
        <f>+J20-L20</f>
        <v>155348.29</v>
      </c>
      <c r="O20" s="327">
        <f>+N20/L20</f>
        <v>1.0508481489784238</v>
      </c>
      <c r="P20" s="23"/>
      <c r="Q20" s="325">
        <v>237471.04</v>
      </c>
      <c r="R20" s="326"/>
      <c r="S20" s="326">
        <v>165203.13</v>
      </c>
      <c r="T20" s="326"/>
      <c r="U20" s="326">
        <f t="shared" si="1"/>
        <v>72267.91</v>
      </c>
      <c r="V20" s="327">
        <f>+U20/S20</f>
        <v>0.43744879409972437</v>
      </c>
      <c r="W20" s="59"/>
      <c r="X20" s="30">
        <f>+'Detail Month'!K20</f>
        <v>3163236</v>
      </c>
      <c r="Y20" s="31"/>
      <c r="Z20" s="31">
        <f>+'Detail Month'!M20</f>
        <v>3007297</v>
      </c>
      <c r="AA20" s="31"/>
      <c r="AB20" s="31">
        <f>+'Detail Month'!D311+'Detail Month'!F311+'Detail Month'!H311+'Detail Month'!J311+'Detail Month'!L311+'Detail Month'!N311+'Detail Month'!P311+'Detail Month'!R311+'Detail Month'!T311+'Detail Month'!V311</f>
        <v>1264422.3399999999</v>
      </c>
      <c r="AC20" s="328"/>
      <c r="AD20" s="31">
        <f t="shared" si="2"/>
        <v>155939</v>
      </c>
      <c r="AE20" s="329">
        <f t="shared" si="9"/>
        <v>5.1853541569056867E-2</v>
      </c>
      <c r="AJ20" s="59"/>
      <c r="AK20" s="31">
        <f t="shared" si="6"/>
        <v>1898813.6600000001</v>
      </c>
      <c r="AL20" s="344">
        <f t="shared" si="3"/>
        <v>1.5017242260999599</v>
      </c>
    </row>
    <row r="21" spans="1:38" s="9" customFormat="1" x14ac:dyDescent="0.2">
      <c r="A21" s="59" t="s">
        <v>51</v>
      </c>
      <c r="B21" s="23"/>
      <c r="C21" s="325">
        <v>57663.51</v>
      </c>
      <c r="D21" s="326"/>
      <c r="E21" s="326">
        <v>61486.83</v>
      </c>
      <c r="F21" s="326"/>
      <c r="G21" s="326">
        <f t="shared" si="4"/>
        <v>-3823.3199999999997</v>
      </c>
      <c r="H21" s="327">
        <f t="shared" si="7"/>
        <v>-6.2181120737562816E-2</v>
      </c>
      <c r="I21" s="23"/>
      <c r="J21" s="325">
        <v>72126.23</v>
      </c>
      <c r="K21" s="326"/>
      <c r="L21" s="326">
        <v>79128.149999999994</v>
      </c>
      <c r="M21" s="326"/>
      <c r="N21" s="326">
        <f t="shared" si="5"/>
        <v>-7001.9199999999983</v>
      </c>
      <c r="O21" s="327">
        <f t="shared" si="0"/>
        <v>-8.8488357177565743E-2</v>
      </c>
      <c r="P21" s="23"/>
      <c r="Q21" s="325">
        <v>94502.15</v>
      </c>
      <c r="R21" s="326"/>
      <c r="S21" s="326">
        <v>73158.539999999994</v>
      </c>
      <c r="T21" s="326"/>
      <c r="U21" s="326">
        <f t="shared" si="1"/>
        <v>21343.61</v>
      </c>
      <c r="V21" s="327">
        <f t="shared" ref="V21:V32" si="10">+U21/S21</f>
        <v>0.29174461382088818</v>
      </c>
      <c r="W21" s="59"/>
      <c r="X21" s="30">
        <f>+'Detail Month'!K21</f>
        <v>1105728</v>
      </c>
      <c r="Y21" s="31"/>
      <c r="Z21" s="31">
        <f>+'Detail Month'!M21</f>
        <v>1026993</v>
      </c>
      <c r="AA21" s="31"/>
      <c r="AB21" s="31">
        <f>+'Detail Month'!D312+'Detail Month'!F312+'Detail Month'!H312+'Detail Month'!J312+'Detail Month'!L312+'Detail Month'!N312+'Detail Month'!P312+'Detail Month'!R312+'Detail Month'!T312+'Detail Month'!V312</f>
        <v>972341.48</v>
      </c>
      <c r="AC21" s="328"/>
      <c r="AD21" s="31">
        <f t="shared" si="2"/>
        <v>78735</v>
      </c>
      <c r="AE21" s="329">
        <f t="shared" si="9"/>
        <v>7.6665566367054114E-2</v>
      </c>
      <c r="AJ21" s="59"/>
      <c r="AK21" s="31">
        <f t="shared" si="6"/>
        <v>133386.52000000002</v>
      </c>
      <c r="AL21" s="344">
        <f t="shared" si="3"/>
        <v>0.13718073613397633</v>
      </c>
    </row>
    <row r="22" spans="1:38" s="9" customFormat="1" x14ac:dyDescent="0.2">
      <c r="A22" s="59" t="s">
        <v>52</v>
      </c>
      <c r="B22" s="23"/>
      <c r="C22" s="325">
        <v>107897.18</v>
      </c>
      <c r="D22" s="326"/>
      <c r="E22" s="326">
        <v>101470.68</v>
      </c>
      <c r="F22" s="326"/>
      <c r="G22" s="326">
        <f t="shared" si="4"/>
        <v>6426.5</v>
      </c>
      <c r="H22" s="327">
        <f t="shared" si="7"/>
        <v>6.3333565912833151E-2</v>
      </c>
      <c r="I22" s="23"/>
      <c r="J22" s="325">
        <v>135183.07999999999</v>
      </c>
      <c r="K22" s="326"/>
      <c r="L22" s="326">
        <v>133495.12</v>
      </c>
      <c r="M22" s="326"/>
      <c r="N22" s="326">
        <f t="shared" si="5"/>
        <v>1687.9599999999919</v>
      </c>
      <c r="O22" s="327">
        <f t="shared" si="0"/>
        <v>1.2644357336807457E-2</v>
      </c>
      <c r="P22" s="23"/>
      <c r="Q22" s="325">
        <v>131666.34</v>
      </c>
      <c r="R22" s="326"/>
      <c r="S22" s="326">
        <v>137476.21</v>
      </c>
      <c r="T22" s="326"/>
      <c r="U22" s="326">
        <f t="shared" si="1"/>
        <v>-5809.8699999999953</v>
      </c>
      <c r="V22" s="327">
        <f t="shared" si="10"/>
        <v>-4.2260911906139946E-2</v>
      </c>
      <c r="W22" s="59"/>
      <c r="X22" s="30">
        <f>+'Detail Month'!K22</f>
        <v>2216597</v>
      </c>
      <c r="Y22" s="31"/>
      <c r="Z22" s="31">
        <f>+'Detail Month'!M22</f>
        <v>1580733</v>
      </c>
      <c r="AA22" s="31"/>
      <c r="AB22" s="31">
        <f>+'Detail Month'!D313+'Detail Month'!F313+'Detail Month'!H313+'Detail Month'!J313+'Detail Month'!L313+'Detail Month'!N313+'Detail Month'!P313+'Detail Month'!R313+'Detail Month'!T313+'Detail Month'!V313</f>
        <v>1835981.5199999998</v>
      </c>
      <c r="AC22" s="328"/>
      <c r="AD22" s="31">
        <f t="shared" si="2"/>
        <v>635864</v>
      </c>
      <c r="AE22" s="329">
        <f t="shared" si="9"/>
        <v>0.40225895201782969</v>
      </c>
      <c r="AJ22" s="59"/>
      <c r="AK22" s="31">
        <f t="shared" si="6"/>
        <v>380615.48000000021</v>
      </c>
      <c r="AL22" s="344">
        <f t="shared" si="3"/>
        <v>0.2073089929576199</v>
      </c>
    </row>
    <row r="23" spans="1:38" s="9" customFormat="1" x14ac:dyDescent="0.2">
      <c r="A23" s="59" t="s">
        <v>56</v>
      </c>
      <c r="B23" s="23"/>
      <c r="C23" s="325">
        <v>472497.64</v>
      </c>
      <c r="D23" s="326"/>
      <c r="E23" s="326">
        <v>494438.8</v>
      </c>
      <c r="F23" s="326"/>
      <c r="G23" s="326">
        <f t="shared" si="4"/>
        <v>-21941.159999999974</v>
      </c>
      <c r="H23" s="327">
        <f t="shared" si="7"/>
        <v>-4.4375886358432988E-2</v>
      </c>
      <c r="I23" s="23"/>
      <c r="J23" s="325">
        <v>671745.89</v>
      </c>
      <c r="K23" s="326"/>
      <c r="L23" s="326">
        <v>603761.87</v>
      </c>
      <c r="M23" s="326"/>
      <c r="N23" s="326">
        <f t="shared" si="5"/>
        <v>67984.020000000019</v>
      </c>
      <c r="O23" s="327">
        <f t="shared" si="0"/>
        <v>0.11260071789561672</v>
      </c>
      <c r="P23" s="23"/>
      <c r="Q23" s="325">
        <v>500661.06</v>
      </c>
      <c r="R23" s="326"/>
      <c r="S23" s="326">
        <v>491096.33</v>
      </c>
      <c r="T23" s="326"/>
      <c r="U23" s="326">
        <f t="shared" si="1"/>
        <v>9564.7299999999814</v>
      </c>
      <c r="V23" s="327">
        <f t="shared" si="10"/>
        <v>1.9476280753309601E-2</v>
      </c>
      <c r="W23" s="59"/>
      <c r="X23" s="30">
        <f>+'Detail Month'!K23</f>
        <v>6802272</v>
      </c>
      <c r="Y23" s="31"/>
      <c r="Z23" s="31">
        <f>+'Detail Month'!M23</f>
        <v>6589563</v>
      </c>
      <c r="AA23" s="31"/>
      <c r="AB23" s="31">
        <f>+'Detail Month'!D314+'Detail Month'!F314+'Detail Month'!H314+'Detail Month'!J314+'Detail Month'!L314+'Detail Month'!N314+'Detail Month'!P314+'Detail Month'!R314+'Detail Month'!T314+'Detail Month'!V314</f>
        <v>5270753.3400000008</v>
      </c>
      <c r="AC23" s="328"/>
      <c r="AD23" s="31">
        <f t="shared" si="2"/>
        <v>212709</v>
      </c>
      <c r="AE23" s="329">
        <f t="shared" si="9"/>
        <v>3.2279682279386358E-2</v>
      </c>
      <c r="AJ23" s="59"/>
      <c r="AK23" s="31">
        <f t="shared" si="6"/>
        <v>1531518.6599999992</v>
      </c>
      <c r="AL23" s="344">
        <f t="shared" si="3"/>
        <v>0.29056921491226506</v>
      </c>
    </row>
    <row r="24" spans="1:38" s="9" customFormat="1" x14ac:dyDescent="0.2">
      <c r="A24" s="59" t="s">
        <v>53</v>
      </c>
      <c r="B24" s="23"/>
      <c r="C24" s="325">
        <v>25495.99</v>
      </c>
      <c r="D24" s="326"/>
      <c r="E24" s="326">
        <v>14915.46</v>
      </c>
      <c r="F24" s="326"/>
      <c r="G24" s="326">
        <f t="shared" si="4"/>
        <v>10580.530000000002</v>
      </c>
      <c r="H24" s="327">
        <f t="shared" si="7"/>
        <v>0.70936665714634362</v>
      </c>
      <c r="I24" s="23"/>
      <c r="J24" s="325">
        <v>14444.35</v>
      </c>
      <c r="K24" s="326"/>
      <c r="L24" s="326">
        <v>14400.86</v>
      </c>
      <c r="M24" s="326"/>
      <c r="N24" s="326">
        <f t="shared" si="5"/>
        <v>43.489999999999782</v>
      </c>
      <c r="O24" s="327">
        <f t="shared" si="0"/>
        <v>3.0199585302544277E-3</v>
      </c>
      <c r="P24" s="23"/>
      <c r="Q24" s="325">
        <v>16666.66</v>
      </c>
      <c r="R24" s="326"/>
      <c r="S24" s="326">
        <v>22067.67</v>
      </c>
      <c r="T24" s="326"/>
      <c r="U24" s="326">
        <f t="shared" si="1"/>
        <v>-5401.0099999999984</v>
      </c>
      <c r="V24" s="327">
        <f t="shared" si="10"/>
        <v>-0.24474763307589786</v>
      </c>
      <c r="W24" s="59"/>
      <c r="X24" s="30">
        <f>+'Detail Month'!K24</f>
        <v>110608</v>
      </c>
      <c r="Y24" s="31"/>
      <c r="Z24" s="31">
        <f>+'Detail Month'!M24</f>
        <v>125079</v>
      </c>
      <c r="AA24" s="31"/>
      <c r="AB24" s="31">
        <f>+'Detail Month'!D315+'Detail Month'!F315+'Detail Month'!H315+'Detail Month'!J315+'Detail Month'!L315+'Detail Month'!N315+'Detail Month'!P315+'Detail Month'!R315+'Detail Month'!T315+'Detail Month'!V315</f>
        <v>289488.60000000003</v>
      </c>
      <c r="AC24" s="328"/>
      <c r="AD24" s="31">
        <f t="shared" si="2"/>
        <v>-14471</v>
      </c>
      <c r="AE24" s="329">
        <f t="shared" si="9"/>
        <v>-0.11569488083531208</v>
      </c>
      <c r="AJ24" s="59"/>
      <c r="AK24" s="31">
        <f t="shared" si="6"/>
        <v>-178880.60000000003</v>
      </c>
      <c r="AL24" s="344">
        <f t="shared" si="3"/>
        <v>-0.61791932393883564</v>
      </c>
    </row>
    <row r="25" spans="1:38" s="9" customFormat="1" x14ac:dyDescent="0.2">
      <c r="A25" s="59" t="s">
        <v>57</v>
      </c>
      <c r="B25" s="23"/>
      <c r="C25" s="325">
        <v>61476.800000000003</v>
      </c>
      <c r="D25" s="326"/>
      <c r="E25" s="326">
        <v>29494.3</v>
      </c>
      <c r="F25" s="326"/>
      <c r="G25" s="326">
        <f t="shared" si="4"/>
        <v>31982.500000000004</v>
      </c>
      <c r="H25" s="327">
        <f t="shared" si="7"/>
        <v>1.0843620631783091</v>
      </c>
      <c r="I25" s="23"/>
      <c r="J25" s="325">
        <v>85090.559999999998</v>
      </c>
      <c r="K25" s="326"/>
      <c r="L25" s="326">
        <v>53022.7</v>
      </c>
      <c r="M25" s="326"/>
      <c r="N25" s="326">
        <f t="shared" si="5"/>
        <v>32067.86</v>
      </c>
      <c r="O25" s="327">
        <f t="shared" si="0"/>
        <v>0.60479492745559926</v>
      </c>
      <c r="P25" s="23"/>
      <c r="Q25" s="325">
        <v>75264.53</v>
      </c>
      <c r="R25" s="326"/>
      <c r="S25" s="326">
        <v>37174.870000000003</v>
      </c>
      <c r="T25" s="326"/>
      <c r="U25" s="326">
        <f t="shared" si="1"/>
        <v>38089.659999999996</v>
      </c>
      <c r="V25" s="327">
        <f t="shared" si="10"/>
        <v>1.0246077524951667</v>
      </c>
      <c r="W25" s="59"/>
      <c r="X25" s="30">
        <f>+'Detail Month'!K25</f>
        <v>777881</v>
      </c>
      <c r="Y25" s="31"/>
      <c r="Z25" s="31">
        <f>+'Detail Month'!M25</f>
        <v>748966</v>
      </c>
      <c r="AA25" s="31"/>
      <c r="AB25" s="31">
        <f>+'Detail Month'!D316+'Detail Month'!F316+'Detail Month'!H316+'Detail Month'!J316+'Detail Month'!L316+'Detail Month'!N316+'Detail Month'!P316+'Detail Month'!R316+'Detail Month'!T316+'Detail Month'!V316</f>
        <v>376085.02999999997</v>
      </c>
      <c r="AC25" s="328"/>
      <c r="AD25" s="31">
        <f t="shared" si="2"/>
        <v>28915</v>
      </c>
      <c r="AE25" s="329">
        <f t="shared" si="9"/>
        <v>3.8606558909216174E-2</v>
      </c>
      <c r="AJ25" s="59"/>
      <c r="AK25" s="31">
        <f t="shared" si="6"/>
        <v>401795.97000000003</v>
      </c>
      <c r="AL25" s="344">
        <f t="shared" si="3"/>
        <v>1.0683646993340843</v>
      </c>
    </row>
    <row r="26" spans="1:38" s="9" customFormat="1" x14ac:dyDescent="0.2">
      <c r="A26" s="59" t="s">
        <v>58</v>
      </c>
      <c r="B26" s="23"/>
      <c r="C26" s="325">
        <v>19270.43</v>
      </c>
      <c r="D26" s="326"/>
      <c r="E26" s="326">
        <v>21692.68</v>
      </c>
      <c r="F26" s="326"/>
      <c r="G26" s="326">
        <f t="shared" si="4"/>
        <v>-2422.25</v>
      </c>
      <c r="H26" s="327">
        <f t="shared" si="7"/>
        <v>-0.11166209062227442</v>
      </c>
      <c r="I26" s="23"/>
      <c r="J26" s="325">
        <v>27326.81</v>
      </c>
      <c r="K26" s="326"/>
      <c r="L26" s="326">
        <v>26599.15</v>
      </c>
      <c r="M26" s="326"/>
      <c r="N26" s="326">
        <f t="shared" si="5"/>
        <v>727.65999999999985</v>
      </c>
      <c r="O26" s="327">
        <f t="shared" si="0"/>
        <v>2.7356513272040642E-2</v>
      </c>
      <c r="P26" s="23"/>
      <c r="Q26" s="325">
        <v>45756.49</v>
      </c>
      <c r="R26" s="326"/>
      <c r="S26" s="326">
        <v>12722.6</v>
      </c>
      <c r="T26" s="326"/>
      <c r="U26" s="326">
        <f t="shared" si="1"/>
        <v>33033.89</v>
      </c>
      <c r="V26" s="327">
        <f t="shared" si="10"/>
        <v>2.5964732051624666</v>
      </c>
      <c r="W26" s="59"/>
      <c r="X26" s="30">
        <f>+'Detail Month'!K26</f>
        <v>593877</v>
      </c>
      <c r="Y26" s="31"/>
      <c r="Z26" s="31">
        <f>+'Detail Month'!M26</f>
        <v>586476</v>
      </c>
      <c r="AA26" s="31"/>
      <c r="AB26" s="31">
        <f>+'Detail Month'!D317+'Detail Month'!F317+'Detail Month'!H317+'Detail Month'!J317+'Detail Month'!L317+'Detail Month'!N317+'Detail Month'!P317+'Detail Month'!R317+'Detail Month'!T317+'Detail Month'!V317</f>
        <v>217353.97</v>
      </c>
      <c r="AC26" s="328"/>
      <c r="AD26" s="31">
        <f t="shared" si="2"/>
        <v>7401</v>
      </c>
      <c r="AE26" s="329">
        <f t="shared" si="9"/>
        <v>1.2619442227814949E-2</v>
      </c>
      <c r="AJ26" s="59"/>
      <c r="AK26" s="31">
        <f t="shared" si="6"/>
        <v>376523.03</v>
      </c>
      <c r="AL26" s="344">
        <f t="shared" si="3"/>
        <v>1.7323034403282351</v>
      </c>
    </row>
    <row r="27" spans="1:38" s="9" customFormat="1" x14ac:dyDescent="0.2">
      <c r="A27" s="59" t="s">
        <v>59</v>
      </c>
      <c r="B27" s="23"/>
      <c r="C27" s="325">
        <v>338494.01</v>
      </c>
      <c r="D27" s="326"/>
      <c r="E27" s="326">
        <v>306131.7</v>
      </c>
      <c r="F27" s="326"/>
      <c r="G27" s="326">
        <f t="shared" si="4"/>
        <v>32362.309999999998</v>
      </c>
      <c r="H27" s="327">
        <f t="shared" si="7"/>
        <v>0.10571368466578272</v>
      </c>
      <c r="I27" s="23"/>
      <c r="J27" s="325">
        <v>381959.79</v>
      </c>
      <c r="K27" s="326"/>
      <c r="L27" s="326">
        <v>436998.31</v>
      </c>
      <c r="M27" s="326"/>
      <c r="N27" s="326">
        <f t="shared" si="5"/>
        <v>-55038.520000000019</v>
      </c>
      <c r="O27" s="327">
        <f t="shared" si="0"/>
        <v>-0.12594675709386616</v>
      </c>
      <c r="P27" s="23"/>
      <c r="Q27" s="325">
        <v>339706.19</v>
      </c>
      <c r="R27" s="326"/>
      <c r="S27" s="326">
        <v>393149.75</v>
      </c>
      <c r="T27" s="326"/>
      <c r="U27" s="326">
        <f t="shared" si="1"/>
        <v>-53443.56</v>
      </c>
      <c r="V27" s="327">
        <f t="shared" si="10"/>
        <v>-0.13593690444925882</v>
      </c>
      <c r="W27" s="59"/>
      <c r="X27" s="30">
        <f>+'Detail Month'!K27</f>
        <v>4150364</v>
      </c>
      <c r="Y27" s="31"/>
      <c r="Z27" s="31">
        <f>+'Detail Month'!M27</f>
        <v>3654750</v>
      </c>
      <c r="AA27" s="31"/>
      <c r="AB27" s="31">
        <f>+'Detail Month'!D318+'Detail Month'!F318+'Detail Month'!H318+'Detail Month'!J318+'Detail Month'!L318+'Detail Month'!N318+'Detail Month'!P318+'Detail Month'!R318+'Detail Month'!T318+'Detail Month'!V318</f>
        <v>3205543.3600000003</v>
      </c>
      <c r="AC27" s="328"/>
      <c r="AD27" s="31">
        <f t="shared" si="2"/>
        <v>495614</v>
      </c>
      <c r="AE27" s="329">
        <f t="shared" si="9"/>
        <v>0.1356081811341405</v>
      </c>
      <c r="AJ27" s="59"/>
      <c r="AK27" s="31">
        <f t="shared" si="6"/>
        <v>944820.63999999966</v>
      </c>
      <c r="AL27" s="344">
        <f t="shared" si="3"/>
        <v>0.29474586174370127</v>
      </c>
    </row>
    <row r="28" spans="1:38" s="9" customFormat="1" x14ac:dyDescent="0.2">
      <c r="A28" s="59" t="s">
        <v>60</v>
      </c>
      <c r="B28" s="23"/>
      <c r="C28" s="325">
        <v>33129.279999999999</v>
      </c>
      <c r="D28" s="326"/>
      <c r="E28" s="326">
        <v>24279.93</v>
      </c>
      <c r="F28" s="326"/>
      <c r="G28" s="326">
        <f t="shared" si="4"/>
        <v>8849.3499999999985</v>
      </c>
      <c r="H28" s="327">
        <f t="shared" si="7"/>
        <v>0.36447180860900336</v>
      </c>
      <c r="I28" s="23"/>
      <c r="J28" s="325">
        <v>52248.89</v>
      </c>
      <c r="K28" s="326"/>
      <c r="L28" s="326">
        <v>48840.22</v>
      </c>
      <c r="M28" s="326"/>
      <c r="N28" s="326">
        <f t="shared" si="5"/>
        <v>3408.6699999999983</v>
      </c>
      <c r="O28" s="327">
        <f t="shared" si="0"/>
        <v>6.9792273662976911E-2</v>
      </c>
      <c r="P28" s="23"/>
      <c r="Q28" s="325">
        <v>57051.79</v>
      </c>
      <c r="R28" s="326"/>
      <c r="S28" s="326">
        <v>37048.65</v>
      </c>
      <c r="T28" s="326"/>
      <c r="U28" s="326">
        <f t="shared" si="1"/>
        <v>20003.14</v>
      </c>
      <c r="V28" s="327">
        <f t="shared" si="10"/>
        <v>0.53991548949826773</v>
      </c>
      <c r="W28" s="59"/>
      <c r="X28" s="30">
        <f>+'Detail Month'!K28</f>
        <v>579328</v>
      </c>
      <c r="Y28" s="31"/>
      <c r="Z28" s="31">
        <f>+'Detail Month'!M28</f>
        <v>490504</v>
      </c>
      <c r="AA28" s="31"/>
      <c r="AB28" s="31">
        <f>+'Detail Month'!D319+'Detail Month'!F319+'Detail Month'!H319+'Detail Month'!J319+'Detail Month'!L319+'Detail Month'!N319+'Detail Month'!P319+'Detail Month'!R319+'Detail Month'!T319+'Detail Month'!V319</f>
        <v>339916.12999999995</v>
      </c>
      <c r="AC28" s="328"/>
      <c r="AD28" s="31">
        <f t="shared" si="2"/>
        <v>88824</v>
      </c>
      <c r="AE28" s="329">
        <f t="shared" si="9"/>
        <v>0.18108720825925986</v>
      </c>
      <c r="AJ28" s="59"/>
      <c r="AK28" s="31">
        <f t="shared" si="6"/>
        <v>239411.87000000005</v>
      </c>
      <c r="AL28" s="344">
        <f t="shared" si="3"/>
        <v>0.70432629954924497</v>
      </c>
    </row>
    <row r="29" spans="1:38" s="9" customFormat="1" x14ac:dyDescent="0.2">
      <c r="A29" s="59" t="s">
        <v>61</v>
      </c>
      <c r="B29" s="23"/>
      <c r="C29" s="325">
        <v>841302.14</v>
      </c>
      <c r="D29" s="326"/>
      <c r="E29" s="326">
        <v>883640.2</v>
      </c>
      <c r="F29" s="326"/>
      <c r="G29" s="326">
        <f t="shared" si="4"/>
        <v>-42338.059999999939</v>
      </c>
      <c r="H29" s="327">
        <f t="shared" si="7"/>
        <v>-4.7913234368468005E-2</v>
      </c>
      <c r="I29" s="23"/>
      <c r="J29" s="325">
        <v>914622.57</v>
      </c>
      <c r="K29" s="326"/>
      <c r="L29" s="326">
        <v>814100.89</v>
      </c>
      <c r="M29" s="326"/>
      <c r="N29" s="326">
        <f t="shared" si="5"/>
        <v>100521.67999999993</v>
      </c>
      <c r="O29" s="327">
        <f t="shared" si="0"/>
        <v>0.12347570336153291</v>
      </c>
      <c r="P29" s="23"/>
      <c r="Q29" s="325">
        <v>1013863.71</v>
      </c>
      <c r="R29" s="326"/>
      <c r="S29" s="326">
        <v>977092.17</v>
      </c>
      <c r="T29" s="326"/>
      <c r="U29" s="326">
        <f t="shared" si="1"/>
        <v>36771.539999999921</v>
      </c>
      <c r="V29" s="327">
        <f t="shared" si="10"/>
        <v>3.7633645145268048E-2</v>
      </c>
      <c r="W29" s="59"/>
      <c r="X29" s="30">
        <f>+'Detail Month'!K29</f>
        <v>11217120</v>
      </c>
      <c r="Y29" s="31"/>
      <c r="Z29" s="31">
        <f>+'Detail Month'!M29</f>
        <v>10360086</v>
      </c>
      <c r="AA29" s="31"/>
      <c r="AB29" s="31">
        <f>+'Detail Month'!D320+'Detail Month'!F320+'Detail Month'!H320+'Detail Month'!J320+'Detail Month'!L320+'Detail Month'!N320+'Detail Month'!P320+'Detail Month'!R320+'Detail Month'!T320+'Detail Month'!V320</f>
        <v>8549391.8200000003</v>
      </c>
      <c r="AC29" s="328"/>
      <c r="AD29" s="31">
        <f t="shared" si="2"/>
        <v>857034</v>
      </c>
      <c r="AE29" s="329">
        <f t="shared" si="9"/>
        <v>8.2724602865265784E-2</v>
      </c>
      <c r="AJ29" s="59"/>
      <c r="AK29" s="31">
        <f t="shared" si="6"/>
        <v>2667728.1799999997</v>
      </c>
      <c r="AL29" s="344">
        <f t="shared" si="3"/>
        <v>0.31203718769319427</v>
      </c>
    </row>
    <row r="30" spans="1:38" s="9" customFormat="1" x14ac:dyDescent="0.2">
      <c r="A30" s="59" t="s">
        <v>65</v>
      </c>
      <c r="B30" s="23"/>
      <c r="C30" s="325">
        <v>593894.39</v>
      </c>
      <c r="D30" s="326"/>
      <c r="E30" s="326">
        <v>780195.69</v>
      </c>
      <c r="F30" s="326"/>
      <c r="G30" s="326">
        <f t="shared" si="4"/>
        <v>-186301.29999999993</v>
      </c>
      <c r="H30" s="327">
        <f t="shared" si="7"/>
        <v>-0.23878791229928473</v>
      </c>
      <c r="I30" s="23"/>
      <c r="J30" s="325">
        <v>886522.97</v>
      </c>
      <c r="K30" s="326"/>
      <c r="L30" s="326">
        <v>926640.94</v>
      </c>
      <c r="M30" s="326"/>
      <c r="N30" s="326">
        <f t="shared" si="5"/>
        <v>-40117.969999999972</v>
      </c>
      <c r="O30" s="327">
        <f t="shared" si="0"/>
        <v>-4.3293975334178496E-2</v>
      </c>
      <c r="P30" s="23"/>
      <c r="Q30" s="325">
        <v>681372.5</v>
      </c>
      <c r="R30" s="326"/>
      <c r="S30" s="326">
        <v>808426.78</v>
      </c>
      <c r="T30" s="326"/>
      <c r="U30" s="326">
        <f t="shared" si="1"/>
        <v>-127054.28000000003</v>
      </c>
      <c r="V30" s="327">
        <f t="shared" si="10"/>
        <v>-0.15716238395764182</v>
      </c>
      <c r="W30" s="59"/>
      <c r="X30" s="30">
        <f>+'Detail Month'!K30</f>
        <v>8025374</v>
      </c>
      <c r="Y30" s="31"/>
      <c r="Z30" s="31">
        <f>+'Detail Month'!M30</f>
        <v>8004968</v>
      </c>
      <c r="AA30" s="31"/>
      <c r="AB30" s="31">
        <f>+'Detail Month'!D321+'Detail Month'!F321+'Detail Month'!H321+'Detail Month'!J321+'Detail Month'!L321+'Detail Month'!N321+'Detail Month'!P321+'Detail Month'!R321+'Detail Month'!T321+'Detail Month'!V321</f>
        <v>8364199.0999999996</v>
      </c>
      <c r="AC30" s="328"/>
      <c r="AD30" s="31">
        <f t="shared" si="2"/>
        <v>20406</v>
      </c>
      <c r="AE30" s="329">
        <f t="shared" si="9"/>
        <v>2.5491669673132983E-3</v>
      </c>
      <c r="AJ30" s="59"/>
      <c r="AK30" s="31">
        <f t="shared" si="6"/>
        <v>-338825.09999999963</v>
      </c>
      <c r="AL30" s="344">
        <f t="shared" si="3"/>
        <v>-4.0508971145844633E-2</v>
      </c>
    </row>
    <row r="31" spans="1:38" s="9" customFormat="1" x14ac:dyDescent="0.2">
      <c r="A31" s="59" t="s">
        <v>62</v>
      </c>
      <c r="B31" s="23"/>
      <c r="C31" s="325">
        <v>0</v>
      </c>
      <c r="D31" s="326"/>
      <c r="E31" s="326">
        <v>0</v>
      </c>
      <c r="F31" s="326"/>
      <c r="G31" s="326">
        <f t="shared" si="4"/>
        <v>0</v>
      </c>
      <c r="H31" s="327">
        <v>0</v>
      </c>
      <c r="I31" s="23"/>
      <c r="J31" s="325">
        <v>0</v>
      </c>
      <c r="K31" s="326"/>
      <c r="L31" s="326">
        <v>0</v>
      </c>
      <c r="M31" s="326"/>
      <c r="N31" s="326">
        <f t="shared" si="5"/>
        <v>0</v>
      </c>
      <c r="O31" s="327" t="e">
        <f t="shared" si="0"/>
        <v>#DIV/0!</v>
      </c>
      <c r="P31" s="23"/>
      <c r="Q31" s="325">
        <v>0</v>
      </c>
      <c r="R31" s="326"/>
      <c r="S31" s="326">
        <v>0</v>
      </c>
      <c r="T31" s="326"/>
      <c r="U31" s="326">
        <f t="shared" si="1"/>
        <v>0</v>
      </c>
      <c r="V31" s="327">
        <v>0</v>
      </c>
      <c r="W31" s="59"/>
      <c r="X31" s="30">
        <f>+'Detail Month'!K31</f>
        <v>122</v>
      </c>
      <c r="Y31" s="31"/>
      <c r="Z31" s="31">
        <f>+'Detail Month'!M31</f>
        <v>0</v>
      </c>
      <c r="AA31" s="31"/>
      <c r="AB31" s="31">
        <f>+'Detail Month'!D322+'Detail Month'!F322+'Detail Month'!H322+'Detail Month'!J322+'Detail Month'!L322+'Detail Month'!N322+'Detail Month'!P322+'Detail Month'!R322+'Detail Month'!T322+'Detail Month'!V322</f>
        <v>274.42</v>
      </c>
      <c r="AC31" s="328"/>
      <c r="AD31" s="31">
        <f t="shared" si="2"/>
        <v>122</v>
      </c>
      <c r="AE31" s="329">
        <v>0</v>
      </c>
      <c r="AJ31" s="59"/>
      <c r="AK31" s="31">
        <f t="shared" si="6"/>
        <v>-152.42000000000002</v>
      </c>
      <c r="AL31" s="344">
        <v>0</v>
      </c>
    </row>
    <row r="32" spans="1:38" s="9" customFormat="1" x14ac:dyDescent="0.2">
      <c r="A32" s="59" t="s">
        <v>46</v>
      </c>
      <c r="B32" s="23"/>
      <c r="C32" s="325">
        <v>18079.219999999998</v>
      </c>
      <c r="D32" s="326"/>
      <c r="E32" s="326">
        <v>30843.56</v>
      </c>
      <c r="F32" s="326"/>
      <c r="G32" s="326">
        <f t="shared" si="4"/>
        <v>-12764.340000000004</v>
      </c>
      <c r="H32" s="327">
        <f>+G32/E32</f>
        <v>-0.41384133349068664</v>
      </c>
      <c r="I32" s="23"/>
      <c r="J32" s="325">
        <v>20017.759999999998</v>
      </c>
      <c r="K32" s="326"/>
      <c r="L32" s="326">
        <v>48715.47</v>
      </c>
      <c r="M32" s="326"/>
      <c r="N32" s="326">
        <f t="shared" si="5"/>
        <v>-28697.710000000003</v>
      </c>
      <c r="O32" s="327">
        <f t="shared" si="0"/>
        <v>-0.58908823008379063</v>
      </c>
      <c r="P32" s="23"/>
      <c r="Q32" s="325">
        <v>186702.34</v>
      </c>
      <c r="R32" s="326"/>
      <c r="S32" s="326">
        <v>42904.479999999996</v>
      </c>
      <c r="T32" s="326"/>
      <c r="U32" s="326">
        <f t="shared" si="1"/>
        <v>143797.85999999999</v>
      </c>
      <c r="V32" s="327">
        <f t="shared" si="10"/>
        <v>3.3515814665508126</v>
      </c>
      <c r="W32" s="59"/>
      <c r="X32" s="30">
        <f>+'Detail Month'!K32</f>
        <v>686677</v>
      </c>
      <c r="Y32" s="31"/>
      <c r="Z32" s="31">
        <f>+'Detail Month'!M32</f>
        <v>981658</v>
      </c>
      <c r="AA32" s="31"/>
      <c r="AB32" s="31">
        <f>+'Detail Month'!D323+'Detail Month'!F323+'Detail Month'!H323+'Detail Month'!J323+'Detail Month'!L323+'Detail Month'!N323+'Detail Month'!P323+'Detail Month'!R323+'Detail Month'!T323+'Detail Month'!V323</f>
        <v>1148540.9600000002</v>
      </c>
      <c r="AC32" s="328"/>
      <c r="AD32" s="31">
        <f t="shared" si="2"/>
        <v>-294981</v>
      </c>
      <c r="AE32" s="329">
        <f>+AD32/Z32</f>
        <v>-0.30049263592819497</v>
      </c>
      <c r="AJ32" s="59"/>
      <c r="AK32" s="31">
        <f t="shared" si="6"/>
        <v>-461863.9600000002</v>
      </c>
      <c r="AL32" s="344">
        <f t="shared" si="3"/>
        <v>-0.40213103065997763</v>
      </c>
    </row>
    <row r="33" spans="1:38" s="9" customFormat="1" x14ac:dyDescent="0.2">
      <c r="A33" s="59" t="s">
        <v>99</v>
      </c>
      <c r="B33" s="23"/>
      <c r="C33" s="325">
        <v>748334.54</v>
      </c>
      <c r="D33" s="326"/>
      <c r="E33" s="326">
        <v>27214.42</v>
      </c>
      <c r="F33" s="326"/>
      <c r="G33" s="326">
        <f t="shared" si="4"/>
        <v>721120.12</v>
      </c>
      <c r="H33" s="327">
        <v>0</v>
      </c>
      <c r="I33" s="23"/>
      <c r="J33" s="325">
        <v>978328.67</v>
      </c>
      <c r="K33" s="326"/>
      <c r="L33" s="326">
        <v>30157.87</v>
      </c>
      <c r="M33" s="326"/>
      <c r="N33" s="326">
        <f>+J33-L33</f>
        <v>948170.8</v>
      </c>
      <c r="O33" s="327">
        <f t="shared" si="0"/>
        <v>31.440244287809453</v>
      </c>
      <c r="P33" s="23"/>
      <c r="Q33" s="325">
        <v>790898.66</v>
      </c>
      <c r="R33" s="326"/>
      <c r="S33" s="326">
        <v>29593.37</v>
      </c>
      <c r="T33" s="326"/>
      <c r="U33" s="326">
        <f>+Q33-S33</f>
        <v>761305.29</v>
      </c>
      <c r="V33" s="327">
        <f>+U33/S33</f>
        <v>25.725535483116658</v>
      </c>
      <c r="W33" s="59"/>
      <c r="X33" s="30">
        <f>+'Detail Month'!K33</f>
        <v>8958107</v>
      </c>
      <c r="Y33" s="31"/>
      <c r="Z33" s="31">
        <f>+'Detail Month'!M33</f>
        <v>8230718</v>
      </c>
      <c r="AA33" s="31"/>
      <c r="AB33" s="31">
        <f>+'Detail Month'!D324+'Detail Month'!F324+'Detail Month'!H324+'Detail Month'!J324+'Detail Month'!L324+'Detail Month'!N324+'Detail Month'!P324+'Detail Month'!R324+'Detail Month'!T324+'Detail Month'!V324</f>
        <v>6899331.8200000003</v>
      </c>
      <c r="AC33" s="328"/>
      <c r="AD33" s="31">
        <f>+X33-Z33</f>
        <v>727389</v>
      </c>
      <c r="AE33" s="329">
        <f>+AD33/Z33</f>
        <v>8.8374914557879394E-2</v>
      </c>
      <c r="AJ33" s="59"/>
      <c r="AK33" s="31">
        <f t="shared" si="6"/>
        <v>2058775.1799999997</v>
      </c>
      <c r="AL33" s="344">
        <f t="shared" si="3"/>
        <v>0.29840211106124181</v>
      </c>
    </row>
    <row r="34" spans="1:38" s="9" customFormat="1" x14ac:dyDescent="0.2">
      <c r="A34" s="59" t="s">
        <v>98</v>
      </c>
      <c r="B34" s="23"/>
      <c r="C34" s="325"/>
      <c r="D34" s="326"/>
      <c r="E34" s="326"/>
      <c r="F34" s="326"/>
      <c r="G34" s="326"/>
      <c r="H34" s="327"/>
      <c r="I34" s="23"/>
      <c r="J34" s="325"/>
      <c r="K34" s="326"/>
      <c r="L34" s="326"/>
      <c r="M34" s="326"/>
      <c r="N34" s="326"/>
      <c r="O34" s="327"/>
      <c r="P34" s="23"/>
      <c r="Q34" s="325"/>
      <c r="R34" s="326"/>
      <c r="S34" s="326"/>
      <c r="T34" s="326"/>
      <c r="U34" s="326"/>
      <c r="V34" s="327"/>
      <c r="W34" s="59"/>
      <c r="X34" s="30">
        <f>+'Detail Month'!K34</f>
        <v>274589</v>
      </c>
      <c r="Y34" s="31"/>
      <c r="Z34" s="31">
        <f>+'Detail Month'!M34</f>
        <v>386882</v>
      </c>
      <c r="AA34" s="31"/>
      <c r="AB34" s="31">
        <f>+'Detail Month'!D325+'Detail Month'!F325+'Detail Month'!H325+'Detail Month'!J325+'Detail Month'!L325+'Detail Month'!N325+'Detail Month'!P325+'Detail Month'!R325+'Detail Month'!T325+'Detail Month'!V325</f>
        <v>0</v>
      </c>
      <c r="AC34" s="328"/>
      <c r="AD34" s="31">
        <f>+X34-Z34</f>
        <v>-112293</v>
      </c>
      <c r="AE34" s="329">
        <f>+AD34/Z34</f>
        <v>-0.29025129109134051</v>
      </c>
      <c r="AJ34" s="59"/>
      <c r="AK34" s="31">
        <f t="shared" si="6"/>
        <v>274589</v>
      </c>
      <c r="AL34" s="344">
        <v>0</v>
      </c>
    </row>
    <row r="35" spans="1:38" s="20" customFormat="1" ht="13.5" thickBot="1" x14ac:dyDescent="0.25">
      <c r="A35" s="94" t="s">
        <v>85</v>
      </c>
      <c r="B35" s="95"/>
      <c r="C35" s="32">
        <f>SUM(C12:C34)</f>
        <v>6776547.0099999988</v>
      </c>
      <c r="D35" s="33"/>
      <c r="E35" s="33">
        <f>SUM(E12:E34)</f>
        <v>6438921.9299999988</v>
      </c>
      <c r="F35" s="33"/>
      <c r="G35" s="33">
        <f t="shared" si="4"/>
        <v>337625.08000000007</v>
      </c>
      <c r="H35" s="96"/>
      <c r="I35" s="96"/>
      <c r="J35" s="32">
        <f>SUM(J12:J34)</f>
        <v>8336356.3599999975</v>
      </c>
      <c r="K35" s="33"/>
      <c r="L35" s="33">
        <f>SUM(L12:L34)</f>
        <v>7134520.709999999</v>
      </c>
      <c r="M35" s="33"/>
      <c r="N35" s="33">
        <f t="shared" si="5"/>
        <v>1201835.6499999985</v>
      </c>
      <c r="O35" s="96"/>
      <c r="P35" s="96"/>
      <c r="Q35" s="32">
        <f>SUM(Q12:Q34)</f>
        <v>7438132.9100000001</v>
      </c>
      <c r="R35" s="33"/>
      <c r="S35" s="33">
        <f>SUM(S12:S34)</f>
        <v>6993301.1800000006</v>
      </c>
      <c r="T35" s="33"/>
      <c r="U35" s="33">
        <f>+Q35-S35</f>
        <v>444831.72999999952</v>
      </c>
      <c r="V35" s="96"/>
      <c r="W35" s="97"/>
      <c r="X35" s="32">
        <f>SUM(X12:X34)</f>
        <v>84640996</v>
      </c>
      <c r="Y35" s="33"/>
      <c r="Z35" s="33">
        <f>SUM(Z12:Z34)</f>
        <v>80728428</v>
      </c>
      <c r="AA35" s="33"/>
      <c r="AB35" s="33">
        <f>SUM(AB12:AB34)</f>
        <v>80957065.650000006</v>
      </c>
      <c r="AC35" s="98"/>
      <c r="AD35" s="33">
        <f>+X35-Z35</f>
        <v>3912568</v>
      </c>
      <c r="AE35" s="99">
        <f>+AD35/Z35</f>
        <v>4.8465801910573557E-2</v>
      </c>
      <c r="AF35" s="96"/>
      <c r="AG35" s="96"/>
      <c r="AH35" s="96"/>
      <c r="AJ35" s="98"/>
      <c r="AK35" s="33">
        <f>SUM(AK12:AK34)</f>
        <v>3683930.3499999987</v>
      </c>
      <c r="AL35" s="100">
        <f>+AK35/AB35</f>
        <v>4.5504741561739129E-2</v>
      </c>
    </row>
    <row r="36" spans="1:38" s="9" customFormat="1" ht="13.5" thickTop="1" x14ac:dyDescent="0.2">
      <c r="A36" s="23"/>
      <c r="B36" s="23"/>
      <c r="C36" s="23"/>
      <c r="D36" s="23"/>
      <c r="E36" s="41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AK36" s="36"/>
    </row>
    <row r="37" spans="1:38" x14ac:dyDescent="0.2">
      <c r="A37" s="95"/>
      <c r="AB37" s="7"/>
      <c r="AD37" s="8"/>
      <c r="AJ37" s="9"/>
      <c r="AK37" s="31"/>
      <c r="AL37" s="60"/>
    </row>
    <row r="38" spans="1:38" x14ac:dyDescent="0.2">
      <c r="A38" s="201"/>
      <c r="AB38" s="280"/>
      <c r="AJ38" s="9"/>
      <c r="AK38" s="31"/>
      <c r="AL38" s="60"/>
    </row>
    <row r="39" spans="1:38" x14ac:dyDescent="0.2">
      <c r="A39" s="23"/>
    </row>
  </sheetData>
  <phoneticPr fontId="9" type="noConversion"/>
  <pageMargins left="0.57999999999999996" right="0.38" top="1" bottom="1" header="0.5" footer="0.5"/>
  <pageSetup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2" sqref="D32"/>
    </sheetView>
  </sheetViews>
  <sheetFormatPr defaultRowHeight="12.75" x14ac:dyDescent="0.2"/>
  <sheetData/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8:H30"/>
  <sheetViews>
    <sheetView workbookViewId="0">
      <selection activeCell="H37" sqref="H37"/>
    </sheetView>
  </sheetViews>
  <sheetFormatPr defaultRowHeight="12.75" x14ac:dyDescent="0.2"/>
  <sheetData>
    <row r="28" spans="6:8" x14ac:dyDescent="0.2">
      <c r="F28" s="10"/>
      <c r="H28" s="10"/>
    </row>
    <row r="29" spans="6:8" x14ac:dyDescent="0.2">
      <c r="F29" s="10"/>
      <c r="H29" s="10"/>
    </row>
    <row r="30" spans="6:8" x14ac:dyDescent="0.2">
      <c r="F30" s="10"/>
      <c r="H30" s="10"/>
    </row>
  </sheetData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25" zoomScaleNormal="100" workbookViewId="0">
      <selection activeCell="A66" sqref="A66"/>
    </sheetView>
  </sheetViews>
  <sheetFormatPr defaultRowHeight="12.75" x14ac:dyDescent="0.2"/>
  <cols>
    <col min="1" max="1" width="10.140625" style="291" bestFit="1" customWidth="1"/>
    <col min="2" max="2" width="12.140625" customWidth="1"/>
    <col min="3" max="3" width="11.28515625" style="286" customWidth="1"/>
    <col min="4" max="4" width="11.28515625" customWidth="1"/>
    <col min="5" max="5" width="11.28515625" style="9" customWidth="1"/>
    <col min="6" max="9" width="11.28515625" customWidth="1"/>
    <col min="10" max="10" width="12.42578125" customWidth="1"/>
    <col min="11" max="11" width="13.7109375" customWidth="1"/>
    <col min="12" max="13" width="10.140625" customWidth="1"/>
    <col min="14" max="14" width="6.7109375" customWidth="1"/>
    <col min="15" max="18" width="10.140625" customWidth="1"/>
    <col min="19" max="19" width="10.28515625" bestFit="1" customWidth="1"/>
    <col min="20" max="20" width="11.28515625" customWidth="1"/>
    <col min="21" max="33" width="10.140625" customWidth="1"/>
    <col min="34" max="34" width="17.5703125" customWidth="1"/>
  </cols>
  <sheetData>
    <row r="1" spans="1:12" ht="14.25" customHeight="1" x14ac:dyDescent="0.2">
      <c r="A1" s="288" t="s">
        <v>165</v>
      </c>
      <c r="B1" s="286"/>
      <c r="C1" s="295" t="s">
        <v>166</v>
      </c>
    </row>
    <row r="2" spans="1:12" ht="14.25" customHeight="1" x14ac:dyDescent="0.2">
      <c r="A2" s="296">
        <v>39089</v>
      </c>
      <c r="B2" s="287">
        <v>2.7E-2</v>
      </c>
      <c r="C2" s="338">
        <f>AVERAGE(B2:B9)</f>
        <v>1.7000000000000001E-2</v>
      </c>
    </row>
    <row r="3" spans="1:12" ht="14.25" customHeight="1" x14ac:dyDescent="0.2">
      <c r="A3" s="289">
        <v>39448</v>
      </c>
      <c r="B3" s="287">
        <v>0.02</v>
      </c>
    </row>
    <row r="4" spans="1:12" ht="14.25" customHeight="1" x14ac:dyDescent="0.2">
      <c r="A4" s="289">
        <v>39814</v>
      </c>
      <c r="B4" s="287">
        <v>8.0000000000000002E-3</v>
      </c>
    </row>
    <row r="5" spans="1:12" ht="14.25" customHeight="1" x14ac:dyDescent="0.2">
      <c r="A5" s="289">
        <v>40179</v>
      </c>
      <c r="B5" s="287">
        <v>1.2E-2</v>
      </c>
    </row>
    <row r="6" spans="1:12" ht="14.25" customHeight="1" x14ac:dyDescent="0.2">
      <c r="A6" s="289">
        <v>40544</v>
      </c>
      <c r="B6" s="287">
        <v>2.1000000000000001E-2</v>
      </c>
    </row>
    <row r="7" spans="1:12" ht="14.25" customHeight="1" x14ac:dyDescent="0.2">
      <c r="A7" s="289">
        <v>40909</v>
      </c>
      <c r="B7" s="287">
        <v>1.7999999999999999E-2</v>
      </c>
    </row>
    <row r="8" spans="1:12" ht="14.25" customHeight="1" x14ac:dyDescent="0.3">
      <c r="A8" s="290">
        <v>41275</v>
      </c>
      <c r="B8" s="287">
        <v>1.4999999999999999E-2</v>
      </c>
    </row>
    <row r="9" spans="1:12" ht="14.25" customHeight="1" x14ac:dyDescent="0.3">
      <c r="A9" s="337">
        <v>41640</v>
      </c>
      <c r="B9" s="338">
        <v>1.4999999999999999E-2</v>
      </c>
      <c r="G9" s="297"/>
      <c r="H9" s="297"/>
    </row>
    <row r="10" spans="1:12" x14ac:dyDescent="0.2">
      <c r="A10" s="317" t="s">
        <v>164</v>
      </c>
      <c r="B10" s="318"/>
      <c r="C10" s="319"/>
      <c r="D10" s="318"/>
      <c r="E10" s="320"/>
    </row>
    <row r="11" spans="1:12" x14ac:dyDescent="0.2">
      <c r="A11" s="336" t="s">
        <v>163</v>
      </c>
      <c r="B11" s="318"/>
      <c r="C11" s="319"/>
      <c r="D11" s="318"/>
      <c r="E11" s="320"/>
    </row>
    <row r="12" spans="1:12" x14ac:dyDescent="0.2">
      <c r="B12" s="298">
        <v>8</v>
      </c>
      <c r="C12" s="299">
        <v>7</v>
      </c>
      <c r="D12" s="298">
        <v>6</v>
      </c>
      <c r="E12" s="259">
        <v>5</v>
      </c>
      <c r="F12" s="298">
        <v>4</v>
      </c>
      <c r="G12" s="298">
        <v>3</v>
      </c>
      <c r="H12" s="298">
        <v>2</v>
      </c>
      <c r="I12" s="298">
        <v>1</v>
      </c>
    </row>
    <row r="13" spans="1:12" x14ac:dyDescent="0.2">
      <c r="B13" s="6" t="s">
        <v>173</v>
      </c>
      <c r="C13" s="6" t="s">
        <v>173</v>
      </c>
      <c r="D13" s="6" t="s">
        <v>173</v>
      </c>
      <c r="E13" s="24" t="s">
        <v>173</v>
      </c>
      <c r="F13" s="6" t="s">
        <v>173</v>
      </c>
      <c r="G13" s="6" t="s">
        <v>173</v>
      </c>
      <c r="H13" s="6" t="s">
        <v>173</v>
      </c>
      <c r="I13" s="6" t="s">
        <v>173</v>
      </c>
      <c r="J13" s="6" t="s">
        <v>174</v>
      </c>
      <c r="K13" s="364" t="s">
        <v>204</v>
      </c>
    </row>
    <row r="14" spans="1:12" x14ac:dyDescent="0.2">
      <c r="A14" s="103"/>
      <c r="B14" s="293" t="s">
        <v>112</v>
      </c>
      <c r="C14" s="293" t="s">
        <v>167</v>
      </c>
      <c r="D14" s="293" t="s">
        <v>168</v>
      </c>
      <c r="E14" s="321" t="s">
        <v>169</v>
      </c>
      <c r="F14" s="293" t="s">
        <v>170</v>
      </c>
      <c r="G14" s="293" t="s">
        <v>171</v>
      </c>
      <c r="H14" s="293" t="s">
        <v>156</v>
      </c>
      <c r="I14" s="293" t="s">
        <v>172</v>
      </c>
      <c r="J14" s="321" t="s">
        <v>188</v>
      </c>
      <c r="K14" s="365" t="s">
        <v>205</v>
      </c>
    </row>
    <row r="15" spans="1:12" x14ac:dyDescent="0.2">
      <c r="A15" s="294" t="s">
        <v>2</v>
      </c>
      <c r="B15" s="292">
        <f>+'15-16'!B10*(1+$C$2)^$B$12</f>
        <v>8440585.3658704739</v>
      </c>
      <c r="C15" s="292">
        <f>'15-16'!D10*(1+$C$2)^$C$12</f>
        <v>8464638.7139842324</v>
      </c>
      <c r="D15" s="292">
        <f>'15-16'!F10*(1+$C$2)^$D$12</f>
        <v>7525828.9116474157</v>
      </c>
      <c r="E15" s="322">
        <f>'15-16'!I10*(1+$C$2)^$E$12</f>
        <v>6803740.0325984117</v>
      </c>
      <c r="F15" s="42">
        <f>'15-16'!K10*(1+$C$2)^$F$12</f>
        <v>7347248.363488256</v>
      </c>
      <c r="G15" s="292">
        <f>'15-16'!M10*(1+$C$2)^$G$12</f>
        <v>7194534.9107531244</v>
      </c>
      <c r="H15" s="42">
        <f>'15-16'!O10*(1+$C$2)^$H$12</f>
        <v>7581728.7830688292</v>
      </c>
      <c r="I15" s="42">
        <f>'15-16'!Q10*(1+$C$2)^$I$12</f>
        <v>6914554.1375399996</v>
      </c>
      <c r="J15" s="7">
        <f>+'15-16'!T10</f>
        <v>7774938.9000000004</v>
      </c>
      <c r="K15" s="351">
        <f t="shared" ref="K15:K24" si="0">+J15-B15</f>
        <v>-665646.46587047353</v>
      </c>
      <c r="L15" s="329">
        <f t="shared" ref="L15:L24" si="1">+K15/B15</f>
        <v>-7.8862595070955208E-2</v>
      </c>
    </row>
    <row r="16" spans="1:12" x14ac:dyDescent="0.2">
      <c r="A16" s="294" t="s">
        <v>3</v>
      </c>
      <c r="B16" s="292">
        <f>+'15-16'!B11*(1+$C$2)^$B$12</f>
        <v>9427055.697915582</v>
      </c>
      <c r="C16" s="292">
        <f>'15-16'!D11*(1+$C$2)^$C$12</f>
        <v>9144600.6302418001</v>
      </c>
      <c r="D16" s="292">
        <f>'15-16'!F11*(1+$C$2)^$D$12</f>
        <v>8158778.6764080077</v>
      </c>
      <c r="E16" s="322">
        <f>'15-16'!I11*(1+$C$2)^$E$12</f>
        <v>8369365.5511718085</v>
      </c>
      <c r="F16" s="42">
        <f>'15-16'!K11*(1+$C$2)^$F$12</f>
        <v>8185152.1896121688</v>
      </c>
      <c r="G16" s="292">
        <f>'15-16'!M11*(1+$C$2)^$G$12</f>
        <v>7949235.5472568683</v>
      </c>
      <c r="H16" s="42">
        <f>'15-16'!O11*(1+$C$2)^$H$12</f>
        <v>7900637.1610294785</v>
      </c>
      <c r="I16" s="42">
        <f>'15-16'!Q11*(1+$C$2)^$I$12</f>
        <v>7667646.0343199996</v>
      </c>
      <c r="J16" s="7">
        <f>+'15-16'!T11</f>
        <v>8444283.2100000009</v>
      </c>
      <c r="K16" s="351">
        <f t="shared" si="0"/>
        <v>-982772.48791558109</v>
      </c>
      <c r="L16" s="329">
        <f t="shared" si="1"/>
        <v>-0.10425020487922672</v>
      </c>
    </row>
    <row r="17" spans="1:14" x14ac:dyDescent="0.2">
      <c r="A17" s="294" t="s">
        <v>4</v>
      </c>
      <c r="B17" s="292">
        <f>+'15-16'!B12*(1+$C$2)^$B$12</f>
        <v>8622243.7739725634</v>
      </c>
      <c r="C17" s="292">
        <f>'15-16'!D12*(1+$C$2)^$C$12</f>
        <v>8677147.9350494333</v>
      </c>
      <c r="D17" s="292">
        <f>'15-16'!F12*(1+$C$2)^$D$12</f>
        <v>7988939.3287920756</v>
      </c>
      <c r="E17" s="322">
        <f>'15-16'!I12*(1+$C$2)^$E$12</f>
        <v>7469652.5994028402</v>
      </c>
      <c r="F17" s="42">
        <f>'15-16'!K12*(1+$C$2)^$F$12</f>
        <v>7661579.8802665621</v>
      </c>
      <c r="G17" s="292">
        <f>'15-16'!M12*(1+$C$2)^$G$12</f>
        <v>7627165.5684887767</v>
      </c>
      <c r="H17" s="42">
        <f>'15-16'!O12*(1+$C$2)^$H$12</f>
        <v>7967811.7803145489</v>
      </c>
      <c r="I17" s="42">
        <f>'15-16'!Q12*(1+$C$2)^$I$12</f>
        <v>8625118.0139999986</v>
      </c>
      <c r="J17" s="7">
        <f>+'15-16'!T12</f>
        <v>8559891.2699999996</v>
      </c>
      <c r="K17" s="351">
        <f t="shared" si="0"/>
        <v>-62352.503972563893</v>
      </c>
      <c r="L17" s="329">
        <f t="shared" si="1"/>
        <v>-7.2315867664033764E-3</v>
      </c>
    </row>
    <row r="18" spans="1:14" x14ac:dyDescent="0.2">
      <c r="A18" s="294" t="s">
        <v>5</v>
      </c>
      <c r="B18" s="292">
        <f>+'15-16'!B13*(1+$C$2)^$B$12</f>
        <v>8917014.0403376631</v>
      </c>
      <c r="C18" s="292">
        <f>'15-16'!D13*(1+$C$2)^$C$12</f>
        <v>8721236.7692589238</v>
      </c>
      <c r="D18" s="292">
        <f>'15-16'!F13*(1+$C$2)^$D$12</f>
        <v>7892605.4828357352</v>
      </c>
      <c r="E18" s="322">
        <f>'15-16'!I13*(1+$C$2)^$E$12</f>
        <v>7942801.8610319467</v>
      </c>
      <c r="F18" s="42">
        <f>'15-16'!K13*(1+$C$2)^$F$12</f>
        <v>7976639.6319003254</v>
      </c>
      <c r="G18" s="292">
        <f>'15-16'!M13*(1+$C$2)^$G$12</f>
        <v>7932623.9968141643</v>
      </c>
      <c r="H18" s="42">
        <f>'15-16'!O13*(1+$C$2)^$H$12</f>
        <v>8809828.7203074563</v>
      </c>
      <c r="I18" s="42">
        <f>'15-16'!Q13*(1+$C$2)^$I$12</f>
        <v>7951741.9739999995</v>
      </c>
      <c r="J18" s="7">
        <f>+'15-16'!T13</f>
        <v>7993372.5999999996</v>
      </c>
      <c r="K18" s="351">
        <f t="shared" si="0"/>
        <v>-923641.44033766352</v>
      </c>
      <c r="L18" s="329">
        <f t="shared" si="1"/>
        <v>-0.10358192060250336</v>
      </c>
    </row>
    <row r="19" spans="1:14" x14ac:dyDescent="0.2">
      <c r="A19" s="294" t="s">
        <v>6</v>
      </c>
      <c r="B19" s="292">
        <f>+'15-16'!B14*(1+$C$2)^$B$12</f>
        <v>8889476.9800796248</v>
      </c>
      <c r="C19" s="292">
        <f>'15-16'!D14*(1+$C$2)^$C$12</f>
        <v>8541649.3943433855</v>
      </c>
      <c r="D19" s="292">
        <f>'15-16'!F14*(1+$C$2)^$D$12</f>
        <v>7620386.2110145362</v>
      </c>
      <c r="E19" s="322">
        <f>'15-16'!I14*(1+$C$2)^$E$12</f>
        <v>7385773.5481125731</v>
      </c>
      <c r="F19" s="42">
        <f>'15-16'!K14*(1+$C$2)^$F$12</f>
        <v>7669863.5397126442</v>
      </c>
      <c r="G19" s="292">
        <f>'15-16'!M14*(1+$C$2)^$G$12</f>
        <v>7412623.6062571555</v>
      </c>
      <c r="H19" s="42">
        <f>'15-16'!O14*(1+$C$2)^$H$12</f>
        <v>7794399.8354219981</v>
      </c>
      <c r="I19" s="42">
        <f>'15-16'!Q14*(1+$C$2)^$I$12</f>
        <v>8079853.4639999997</v>
      </c>
      <c r="J19" s="7">
        <f>+'15-16'!T14</f>
        <v>8073909</v>
      </c>
      <c r="K19" s="351">
        <f t="shared" si="0"/>
        <v>-815567.9800796248</v>
      </c>
      <c r="L19" s="329">
        <f t="shared" si="1"/>
        <v>-9.1745327864308127E-2</v>
      </c>
    </row>
    <row r="20" spans="1:14" x14ac:dyDescent="0.2">
      <c r="A20" s="294" t="s">
        <v>7</v>
      </c>
      <c r="B20" s="292">
        <f>+'15-16'!B15*(1+$C$2)^$B$12</f>
        <v>8452042.291038407</v>
      </c>
      <c r="C20" s="292">
        <f>'15-16'!D15*(1+$C$2)^$C$12</f>
        <v>8786638.4094889089</v>
      </c>
      <c r="D20" s="292">
        <f>'15-16'!F15*(1+$C$2)^$D$12</f>
        <v>7374845.5539166136</v>
      </c>
      <c r="E20" s="322">
        <f>'15-16'!I15*(1+$C$2)^$E$12</f>
        <v>7063013.43416382</v>
      </c>
      <c r="F20" s="42">
        <f>'15-16'!K15*(1+$C$2)^$F$12</f>
        <v>7035124.5081914803</v>
      </c>
      <c r="G20" s="292">
        <f>'15-16'!M15*(1+$C$2)^$G$12</f>
        <v>7483575.1016559796</v>
      </c>
      <c r="H20" s="42">
        <f>'15-16'!O15*(1+$C$2)^$H$12</f>
        <v>7796989.8191926787</v>
      </c>
      <c r="I20" s="42">
        <f>'15-16'!Q15*(1+$C$2)^$I$12</f>
        <v>7712309.0537999989</v>
      </c>
      <c r="J20" s="7">
        <f>+'15-16'!T15</f>
        <v>7878332.79</v>
      </c>
      <c r="K20" s="351">
        <f t="shared" si="0"/>
        <v>-573709.50103840698</v>
      </c>
      <c r="L20" s="329">
        <f t="shared" si="1"/>
        <v>-6.787820993828958E-2</v>
      </c>
    </row>
    <row r="21" spans="1:14" x14ac:dyDescent="0.2">
      <c r="A21" s="294" t="s">
        <v>8</v>
      </c>
      <c r="B21" s="292">
        <f>+'15-16'!B16*(1+$C$2)^$B$12</f>
        <v>7995468.4089634726</v>
      </c>
      <c r="C21" s="292">
        <f>'15-16'!D16*(1+$C$2)^$C$12</f>
        <v>7327294.8554738546</v>
      </c>
      <c r="D21" s="292">
        <f>'15-16'!F16*(1+$C$2)^$D$12</f>
        <v>6770135.9370479807</v>
      </c>
      <c r="E21" s="322">
        <f>'15-16'!I16*(1+$C$2)^$E$12</f>
        <v>6836614.3019512957</v>
      </c>
      <c r="F21" s="42">
        <f>'15-16'!K16*(1+$C$2)^$F$12</f>
        <v>7117974.431783841</v>
      </c>
      <c r="G21" s="292">
        <f>'15-16'!M16*(1+$C$2)^$G$12</f>
        <v>7018724.6289842576</v>
      </c>
      <c r="H21" s="42">
        <f>'15-16'!O16*(1+$C$2)^$H$12</f>
        <v>6744660.4505108688</v>
      </c>
      <c r="I21" s="42">
        <f>'15-16'!Q16*(1+$C$2)^$I$12</f>
        <v>7024595.7037499994</v>
      </c>
      <c r="J21" s="7">
        <f>+'15-16'!T16</f>
        <v>6903342.9100000001</v>
      </c>
      <c r="K21" s="351">
        <f t="shared" si="0"/>
        <v>-1092125.4989634724</v>
      </c>
      <c r="L21" s="329">
        <f t="shared" si="1"/>
        <v>-0.13659306035642943</v>
      </c>
      <c r="M21" s="20"/>
      <c r="N21" s="9"/>
    </row>
    <row r="22" spans="1:14" x14ac:dyDescent="0.2">
      <c r="A22" s="294" t="s">
        <v>9</v>
      </c>
      <c r="B22" s="292">
        <f>+'15-16'!B17*(1+$C$2)^$B$12</f>
        <v>9984792.9247525055</v>
      </c>
      <c r="C22" s="292">
        <f>'15-16'!D17*(1+$C$2)^$C$12</f>
        <v>8641554.7486092132</v>
      </c>
      <c r="D22" s="292">
        <f>'15-16'!F17*(1+$C$2)^$D$12</f>
        <v>8373853.7364107464</v>
      </c>
      <c r="E22" s="322">
        <f>'15-16'!I17*(1+$C$2)^$E$12</f>
        <v>8471196.6929605342</v>
      </c>
      <c r="F22" s="42">
        <f>'15-16'!K17*(1+$C$2)^$F$12</f>
        <v>8815747.6263166275</v>
      </c>
      <c r="G22" s="292">
        <f>'15-16'!M17*(1+$C$2)^$G$12</f>
        <v>8133004.2393258959</v>
      </c>
      <c r="H22" s="42">
        <f>'15-16'!O17*(1+$C$2)^$H$12</f>
        <v>8306287.0444349982</v>
      </c>
      <c r="I22" s="42">
        <f>'15-16'!Q17*(1+$C$2)^$I$12</f>
        <v>8875164.0919499993</v>
      </c>
      <c r="J22" s="7">
        <f>+'15-16'!T17</f>
        <v>8335574.4900000012</v>
      </c>
      <c r="K22" s="351">
        <f t="shared" si="0"/>
        <v>-1649218.4347525043</v>
      </c>
      <c r="L22" s="329">
        <f t="shared" si="1"/>
        <v>-0.16517302333472117</v>
      </c>
      <c r="M22" s="20"/>
      <c r="N22" s="9"/>
    </row>
    <row r="23" spans="1:14" x14ac:dyDescent="0.2">
      <c r="A23" s="294" t="s">
        <v>10</v>
      </c>
      <c r="B23" s="292">
        <f>+'15-16'!B18*(1+$C$2)^$B$12</f>
        <v>7644618.2669357387</v>
      </c>
      <c r="C23" s="292">
        <f>'15-16'!D18*(1+$C$2)^$C$12</f>
        <v>7097261.8847051868</v>
      </c>
      <c r="D23" s="292">
        <f>'15-16'!F18*(1+$C$2)^$D$12</f>
        <v>6389197.623589607</v>
      </c>
      <c r="E23" s="322">
        <f>'15-16'!I18*(1+$C$2)^$E$12</f>
        <v>6206894.2201242773</v>
      </c>
      <c r="F23" s="42">
        <f>'15-16'!K18*(1+$C$2)^$F$12</f>
        <v>6678328.389449127</v>
      </c>
      <c r="G23" s="292">
        <f>'15-16'!M18*(1+$C$2)^$G$12</f>
        <v>7077224.7063188553</v>
      </c>
      <c r="H23" s="42">
        <f>'15-16'!O18*(1+$C$2)^$H$12</f>
        <v>6378453.2091490189</v>
      </c>
      <c r="I23" s="42">
        <f>'15-16'!Q18*(1+$C$2)^$I$12</f>
        <v>6391754.3954699999</v>
      </c>
      <c r="J23" s="7">
        <f>+'15-16'!T18</f>
        <v>6909944.4500000002</v>
      </c>
      <c r="K23" s="351">
        <f t="shared" si="0"/>
        <v>-734673.81693573855</v>
      </c>
      <c r="L23" s="329">
        <f t="shared" si="1"/>
        <v>-9.6103401279476114E-2</v>
      </c>
      <c r="M23" s="9"/>
      <c r="N23" s="9"/>
    </row>
    <row r="24" spans="1:14" x14ac:dyDescent="0.2">
      <c r="A24" s="294" t="s">
        <v>11</v>
      </c>
      <c r="B24" s="292">
        <f>+'15-16'!B19*(1+$C$2)^$B$12</f>
        <v>6817086.669876771</v>
      </c>
      <c r="C24" s="292">
        <f>'15-16'!D19*(1+$C$2)^$C$12</f>
        <v>6794891.4052855279</v>
      </c>
      <c r="D24" s="292">
        <f>'15-16'!F19*(1+$C$2)^$D$12</f>
        <v>6290427.9288414624</v>
      </c>
      <c r="E24" s="322">
        <f>'15-16'!I19*(1+$C$2)^$E$12</f>
        <v>6283487.3402547259</v>
      </c>
      <c r="F24" s="42">
        <f>'15-16'!K19*(1+$C$2)^$F$12</f>
        <v>6759746.1374379089</v>
      </c>
      <c r="G24" s="292">
        <f>'15-16'!M19*(1+$C$2)^$G$12</f>
        <v>6131244.0024902262</v>
      </c>
      <c r="H24" s="42">
        <f>'15-16'!O19*(1+$C$2)^$H$12</f>
        <v>7029151.6622212781</v>
      </c>
      <c r="I24" s="42">
        <f>'15-16'!Q19*(1+$C$2)^$I$12</f>
        <v>6271375.4615700003</v>
      </c>
      <c r="J24" s="7">
        <f>+'15-16'!T19</f>
        <v>6954678.5199999996</v>
      </c>
      <c r="K24" s="355">
        <f t="shared" si="0"/>
        <v>137591.85012322851</v>
      </c>
      <c r="L24" s="329">
        <f t="shared" si="1"/>
        <v>2.0183379907903632E-2</v>
      </c>
      <c r="M24" s="9"/>
      <c r="N24" s="9"/>
    </row>
    <row r="25" spans="1:14" x14ac:dyDescent="0.2">
      <c r="A25" s="294" t="s">
        <v>12</v>
      </c>
      <c r="B25" s="292">
        <f>+'15-16'!B20*(1+$C$2)^$B$12</f>
        <v>7899810.8947295295</v>
      </c>
      <c r="C25" s="292">
        <f>'15-16'!D20*(1+$C$2)^$C$12</f>
        <v>7333362.0581025928</v>
      </c>
      <c r="D25" s="292">
        <f>'15-16'!F20*(1+$C$2)^$D$12</f>
        <v>7280481.5044029932</v>
      </c>
      <c r="E25" s="322">
        <f>'15-16'!I20*(1+$C$2)^$E$12</f>
        <v>7421187.068372881</v>
      </c>
      <c r="F25" s="42">
        <f>'15-16'!K20*(1+$C$2)^$F$12</f>
        <v>7630403.5229729442</v>
      </c>
      <c r="G25" s="292">
        <f>'15-16'!M20*(1+$C$2)^$G$12</f>
        <v>7747033.7991908314</v>
      </c>
      <c r="H25" s="42">
        <f>'15-16'!O20*(1+$C$2)^$H$12</f>
        <v>7518513.8564771386</v>
      </c>
      <c r="I25" s="42">
        <f>'15-16'!Q20*(1+$C$2)^$I$12</f>
        <v>7614362.8923299992</v>
      </c>
      <c r="J25" s="7"/>
      <c r="K25" s="351"/>
    </row>
    <row r="26" spans="1:14" x14ac:dyDescent="0.2">
      <c r="A26" s="294" t="s">
        <v>13</v>
      </c>
      <c r="B26" s="303">
        <f>+'15-16'!B21*(1+$C$2)^$B$12</f>
        <v>8240643.7214483656</v>
      </c>
      <c r="C26" s="303">
        <f>'15-16'!D21*(1+$C$2)^$C$12</f>
        <v>6890911.7649387093</v>
      </c>
      <c r="D26" s="303">
        <f>'15-16'!F21*(1+$C$2)^$D$12</f>
        <v>6873479.3112414097</v>
      </c>
      <c r="E26" s="323">
        <f>'15-16'!I21*(1+$C$2)^$E$12</f>
        <v>7275775.7337021129</v>
      </c>
      <c r="F26" s="302">
        <f>'15-16'!K21*(1+$C$2)^$F$12</f>
        <v>6685626.0675747162</v>
      </c>
      <c r="G26" s="303">
        <f>'15-16'!M21*(1+$C$2)^$G$12</f>
        <v>6925633.4282290833</v>
      </c>
      <c r="H26" s="302">
        <f>'15-16'!O21*(1+$C$2)^$H$12</f>
        <v>7219328.4182006083</v>
      </c>
      <c r="I26" s="302">
        <f>'15-16'!Q21*(1+$C$2)^$I$12</f>
        <v>7996902.8759999992</v>
      </c>
      <c r="J26" s="339"/>
      <c r="K26" s="351"/>
    </row>
    <row r="27" spans="1:14" x14ac:dyDescent="0.2">
      <c r="A27" s="300" t="s">
        <v>27</v>
      </c>
      <c r="B27" s="297">
        <f t="shared" ref="B27:F27" si="2">SUM(B15:B26)</f>
        <v>101330839.03592068</v>
      </c>
      <c r="C27" s="297">
        <f t="shared" si="2"/>
        <v>96421188.56948176</v>
      </c>
      <c r="D27" s="297">
        <f t="shared" si="2"/>
        <v>88538960.20614858</v>
      </c>
      <c r="E27" s="324">
        <f t="shared" si="2"/>
        <v>87529502.383847222</v>
      </c>
      <c r="F27" s="297">
        <f t="shared" si="2"/>
        <v>89563434.288706601</v>
      </c>
      <c r="G27" s="297">
        <f>SUM(G15:G26)</f>
        <v>88632623.535765216</v>
      </c>
      <c r="H27" s="297">
        <f>SUM(H15:H26)</f>
        <v>91047790.740328908</v>
      </c>
      <c r="I27" s="297">
        <f>SUM(I15:I26)</f>
        <v>91125378.098729998</v>
      </c>
      <c r="J27" s="297">
        <f>SUM(J15:J26)</f>
        <v>77828268.140000001</v>
      </c>
      <c r="K27" s="297">
        <f>SUM(K15:K26)</f>
        <v>-7362116.2797428006</v>
      </c>
    </row>
  </sheetData>
  <hyperlinks>
    <hyperlink ref="A11" r:id="rId1"/>
  </hyperlinks>
  <pageMargins left="0.5" right="0.5" top="0.5" bottom="0.2" header="0.5" footer="0.5"/>
  <pageSetup scale="70" orientation="landscape" r:id="rId2"/>
  <colBreaks count="1" manualBreakCount="1">
    <brk id="13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RowHeight="12.75" x14ac:dyDescent="0.2"/>
  <cols>
    <col min="2" max="2" width="19.7109375" customWidth="1"/>
    <col min="3" max="3" width="12.42578125" customWidth="1"/>
    <col min="4" max="4" width="12" customWidth="1"/>
    <col min="5" max="5" width="11.7109375" customWidth="1"/>
    <col min="6" max="6" width="12.140625" customWidth="1"/>
    <col min="7" max="7" width="12.85546875" bestFit="1" customWidth="1"/>
  </cols>
  <sheetData>
    <row r="1" spans="1:4" x14ac:dyDescent="0.2">
      <c r="D1" s="20"/>
    </row>
    <row r="2" spans="1:4" x14ac:dyDescent="0.2">
      <c r="A2" s="84" t="s">
        <v>128</v>
      </c>
    </row>
    <row r="3" spans="1:4" x14ac:dyDescent="0.2">
      <c r="A3" s="113" t="s">
        <v>1</v>
      </c>
      <c r="B3" s="114" t="s">
        <v>126</v>
      </c>
      <c r="C3" s="114" t="s">
        <v>127</v>
      </c>
    </row>
    <row r="4" spans="1:4" x14ac:dyDescent="0.2">
      <c r="A4" s="77" t="s">
        <v>2</v>
      </c>
      <c r="B4" s="89">
        <f>+'15-16'!W10</f>
        <v>6755595.6966815004</v>
      </c>
      <c r="C4" s="61">
        <f>+'15-16'!T10</f>
        <v>7774938.9000000004</v>
      </c>
    </row>
    <row r="5" spans="1:4" x14ac:dyDescent="0.2">
      <c r="A5" s="77" t="s">
        <v>3</v>
      </c>
      <c r="B5" s="89">
        <f>+'15-16'!W11</f>
        <v>7491374.7904442549</v>
      </c>
      <c r="C5" s="61">
        <f>+'15-16'!T11</f>
        <v>8444283.2100000009</v>
      </c>
    </row>
    <row r="6" spans="1:4" x14ac:dyDescent="0.2">
      <c r="A6" s="77" t="s">
        <v>4</v>
      </c>
      <c r="B6" s="89">
        <f>+'15-16'!W12</f>
        <v>8426835.4805995505</v>
      </c>
      <c r="C6" s="61">
        <f>+'15-16'!T12</f>
        <v>8559891.2699999996</v>
      </c>
    </row>
    <row r="7" spans="1:4" x14ac:dyDescent="0.2">
      <c r="A7" s="77" t="s">
        <v>5</v>
      </c>
      <c r="B7" s="89">
        <f>+'15-16'!W13</f>
        <v>7768939.6586006992</v>
      </c>
      <c r="C7" s="61">
        <f>+'15-16'!T13</f>
        <v>7993372.5999999996</v>
      </c>
    </row>
    <row r="8" spans="1:4" x14ac:dyDescent="0.2">
      <c r="A8" s="77" t="s">
        <v>6</v>
      </c>
      <c r="B8" s="89">
        <f>+'15-16'!W14</f>
        <v>7894105.998081754</v>
      </c>
      <c r="C8" s="61">
        <f>+'15-16'!T14</f>
        <v>8073909</v>
      </c>
    </row>
    <row r="9" spans="1:4" x14ac:dyDescent="0.2">
      <c r="A9" s="77" t="s">
        <v>7</v>
      </c>
      <c r="B9" s="89">
        <f>+'15-16'!W15</f>
        <v>7535011.0533468444</v>
      </c>
      <c r="C9" s="61">
        <f>+'15-16'!T15</f>
        <v>7878332.79</v>
      </c>
    </row>
    <row r="10" spans="1:4" x14ac:dyDescent="0.2">
      <c r="A10" s="77" t="s">
        <v>8</v>
      </c>
      <c r="B10" s="89">
        <f>+'15-16'!W16</f>
        <v>6863107.5212123664</v>
      </c>
      <c r="C10" s="61">
        <f>+'15-16'!T16</f>
        <v>6903342.9100000001</v>
      </c>
    </row>
    <row r="11" spans="1:4" x14ac:dyDescent="0.2">
      <c r="A11" s="77" t="s">
        <v>9</v>
      </c>
      <c r="B11" s="89">
        <f>+'15-16'!W17</f>
        <v>8671133.258094728</v>
      </c>
      <c r="C11" s="61">
        <f>+'15-16'!T17</f>
        <v>8335574.4900000012</v>
      </c>
    </row>
    <row r="12" spans="1:4" x14ac:dyDescent="0.2">
      <c r="A12" s="77" t="s">
        <v>10</v>
      </c>
      <c r="B12" s="89">
        <f>+'15-16'!W18</f>
        <v>6244814.579417618</v>
      </c>
      <c r="C12" s="61">
        <f>+'15-16'!T18</f>
        <v>6909944.4500000002</v>
      </c>
    </row>
    <row r="13" spans="1:4" x14ac:dyDescent="0.2">
      <c r="A13" s="77" t="s">
        <v>11</v>
      </c>
      <c r="B13" s="89">
        <f>+'15-16'!W19</f>
        <v>6127203.0325774821</v>
      </c>
      <c r="C13" s="61">
        <f>+'15-16'!T19</f>
        <v>6954678.5199999996</v>
      </c>
    </row>
    <row r="14" spans="1:4" x14ac:dyDescent="0.2">
      <c r="A14" s="77" t="s">
        <v>12</v>
      </c>
      <c r="B14" s="89">
        <f>+'15-16'!W20</f>
        <v>7439316.5727235992</v>
      </c>
      <c r="C14" s="61"/>
    </row>
    <row r="15" spans="1:4" x14ac:dyDescent="0.2">
      <c r="A15" s="77" t="s">
        <v>13</v>
      </c>
      <c r="B15" s="89">
        <f>+'15-16'!W21</f>
        <v>7813062.3582196226</v>
      </c>
      <c r="C15" s="61"/>
      <c r="D15" s="10" t="s">
        <v>176</v>
      </c>
    </row>
    <row r="16" spans="1:4" x14ac:dyDescent="0.2">
      <c r="A16" s="77"/>
      <c r="B16" s="42">
        <f>SUM(B4:B15)</f>
        <v>89030500.00000003</v>
      </c>
      <c r="C16" s="15">
        <f>SUM(C4:C15)</f>
        <v>77828268.140000001</v>
      </c>
    </row>
    <row r="18" spans="1:7" x14ac:dyDescent="0.2">
      <c r="A18" s="85" t="s">
        <v>143</v>
      </c>
    </row>
    <row r="19" spans="1:7" ht="13.5" thickBot="1" x14ac:dyDescent="0.25">
      <c r="A19" s="78" t="s">
        <v>1</v>
      </c>
      <c r="B19" s="106" t="s">
        <v>144</v>
      </c>
      <c r="C19" s="102" t="s">
        <v>159</v>
      </c>
      <c r="D19" s="106" t="s">
        <v>195</v>
      </c>
      <c r="F19" s="103"/>
      <c r="G19" s="104"/>
    </row>
    <row r="20" spans="1:7" x14ac:dyDescent="0.2">
      <c r="A20" s="79" t="s">
        <v>2</v>
      </c>
      <c r="B20" s="80">
        <f>+'15-16'!B10</f>
        <v>7375728.8599999994</v>
      </c>
      <c r="C20" s="109">
        <f>+'15-16'!Q10</f>
        <v>6798971.6200000001</v>
      </c>
      <c r="D20" s="81">
        <f>+'15-16'!T10</f>
        <v>7774938.9000000004</v>
      </c>
      <c r="F20" s="89"/>
      <c r="G20" s="101"/>
    </row>
    <row r="21" spans="1:7" x14ac:dyDescent="0.2">
      <c r="A21" s="79" t="s">
        <v>3</v>
      </c>
      <c r="B21" s="80">
        <f>+'15-16'!B11</f>
        <v>8237747</v>
      </c>
      <c r="C21" s="109">
        <f>+'15-16'!Q11</f>
        <v>7539474.96</v>
      </c>
      <c r="D21" s="306">
        <f>+'15-16'!T11</f>
        <v>8444283.2100000009</v>
      </c>
      <c r="F21" s="89"/>
      <c r="G21" s="101"/>
    </row>
    <row r="22" spans="1:7" x14ac:dyDescent="0.2">
      <c r="A22" s="79" t="s">
        <v>4</v>
      </c>
      <c r="B22" s="80">
        <f>+'15-16'!B12</f>
        <v>7534469.4100000001</v>
      </c>
      <c r="C22" s="109">
        <f>+'15-16'!Q12</f>
        <v>8480942</v>
      </c>
      <c r="D22" s="306">
        <f>+'15-16'!T12</f>
        <v>8559891.2699999996</v>
      </c>
      <c r="F22" s="90"/>
      <c r="G22" s="101"/>
    </row>
    <row r="23" spans="1:7" x14ac:dyDescent="0.2">
      <c r="A23" s="79" t="s">
        <v>5</v>
      </c>
      <c r="B23" s="80">
        <f>+'15-16'!B13</f>
        <v>7792051.7299999986</v>
      </c>
      <c r="C23" s="109">
        <f>+'15-16'!Q13</f>
        <v>7818822</v>
      </c>
      <c r="D23" s="306">
        <f>+'15-16'!T13</f>
        <v>7993372.5999999996</v>
      </c>
      <c r="F23" s="90"/>
      <c r="G23" s="4"/>
    </row>
    <row r="24" spans="1:7" x14ac:dyDescent="0.2">
      <c r="A24" s="79" t="s">
        <v>6</v>
      </c>
      <c r="B24" s="80">
        <f>+'15-16'!B14</f>
        <v>7767988.7200000007</v>
      </c>
      <c r="C24" s="109">
        <f>+'15-16'!Q14</f>
        <v>7944792</v>
      </c>
      <c r="D24" s="81">
        <f t="shared" ref="D24:D29" si="0">+C8</f>
        <v>8073909</v>
      </c>
      <c r="F24" s="90"/>
      <c r="G24" s="4"/>
    </row>
    <row r="25" spans="1:7" x14ac:dyDescent="0.2">
      <c r="A25" s="79" t="s">
        <v>7</v>
      </c>
      <c r="B25" s="80">
        <f>+'15-16'!B15</f>
        <v>7385740.3900000006</v>
      </c>
      <c r="C25" s="109">
        <f>+'15-16'!Q15</f>
        <v>7583391.3999999994</v>
      </c>
      <c r="D25" s="306">
        <f t="shared" si="0"/>
        <v>7878332.79</v>
      </c>
      <c r="F25" s="90"/>
      <c r="G25" s="4"/>
    </row>
    <row r="26" spans="1:7" x14ac:dyDescent="0.2">
      <c r="A26" s="79" t="s">
        <v>8</v>
      </c>
      <c r="B26" s="80">
        <f>+'15-16'!B16</f>
        <v>6986767.4499999993</v>
      </c>
      <c r="C26" s="109">
        <f>+'15-16'!Q16</f>
        <v>6907173.75</v>
      </c>
      <c r="D26" s="306">
        <f t="shared" si="0"/>
        <v>6903342.9100000001</v>
      </c>
      <c r="F26" s="105"/>
      <c r="G26" s="4"/>
    </row>
    <row r="27" spans="1:7" x14ac:dyDescent="0.2">
      <c r="A27" s="79" t="s">
        <v>9</v>
      </c>
      <c r="B27" s="80">
        <f>+'15-16'!B17</f>
        <v>8725120.6099999994</v>
      </c>
      <c r="C27" s="109">
        <f>+'15-16'!Q17</f>
        <v>8726808.3499999996</v>
      </c>
      <c r="D27" s="306">
        <f t="shared" si="0"/>
        <v>8335574.4900000012</v>
      </c>
      <c r="F27" s="90"/>
      <c r="G27" s="4"/>
    </row>
    <row r="28" spans="1:7" x14ac:dyDescent="0.2">
      <c r="A28" s="79" t="s">
        <v>10</v>
      </c>
      <c r="B28" s="80">
        <f>+'15-16'!B18</f>
        <v>6680180.2399999993</v>
      </c>
      <c r="C28" s="109">
        <f>+'15-16'!Q18</f>
        <v>6284910.9100000001</v>
      </c>
      <c r="D28" s="306">
        <f t="shared" si="0"/>
        <v>6909944.4500000002</v>
      </c>
      <c r="F28" s="90"/>
      <c r="G28" s="4"/>
    </row>
    <row r="29" spans="1:7" x14ac:dyDescent="0.2">
      <c r="A29" s="79" t="s">
        <v>11</v>
      </c>
      <c r="B29" s="80">
        <f>+'15-16'!B19</f>
        <v>5957049.2699999996</v>
      </c>
      <c r="C29" s="109">
        <f>+'15-16'!Q19</f>
        <v>6166544.2100000009</v>
      </c>
      <c r="D29" s="306">
        <f t="shared" si="0"/>
        <v>6954678.5199999996</v>
      </c>
      <c r="F29" s="90"/>
      <c r="G29" s="4"/>
    </row>
    <row r="30" spans="1:7" x14ac:dyDescent="0.2">
      <c r="A30" s="79" t="s">
        <v>12</v>
      </c>
      <c r="B30" s="80">
        <f>+'15-16'!B20</f>
        <v>6903178</v>
      </c>
      <c r="C30" s="109">
        <f>+'15-16'!Q20</f>
        <v>7487082.4900000002</v>
      </c>
      <c r="D30" s="306"/>
      <c r="F30" s="89"/>
      <c r="G30" s="4"/>
    </row>
    <row r="31" spans="1:7" x14ac:dyDescent="0.2">
      <c r="A31" s="82" t="s">
        <v>13</v>
      </c>
      <c r="B31" s="83">
        <f>+'15-16'!B21</f>
        <v>7201011.6699999999</v>
      </c>
      <c r="C31" s="111">
        <f>+'15-16'!Q21</f>
        <v>7863228</v>
      </c>
      <c r="D31" s="112"/>
      <c r="F31" s="89" t="s">
        <v>176</v>
      </c>
      <c r="G31" s="4"/>
    </row>
    <row r="32" spans="1:7" x14ac:dyDescent="0.2">
      <c r="B32" s="8">
        <f>SUM(B20:B31)</f>
        <v>88547033.349999994</v>
      </c>
      <c r="C32" s="8">
        <v>88029352.019999996</v>
      </c>
      <c r="D32" s="8">
        <f>SUM(D20:D31)</f>
        <v>77828268.140000001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"/>
  <sheetViews>
    <sheetView topLeftCell="CR1" workbookViewId="0">
      <selection activeCell="DB3" sqref="DB3"/>
    </sheetView>
  </sheetViews>
  <sheetFormatPr defaultRowHeight="12.75" x14ac:dyDescent="0.2"/>
  <cols>
    <col min="97" max="106" width="11.7109375" bestFit="1" customWidth="1"/>
  </cols>
  <sheetData>
    <row r="1" spans="1:106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06" x14ac:dyDescent="0.2">
      <c r="A2" s="314" t="s">
        <v>177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 t="s">
        <v>178</v>
      </c>
      <c r="Y2" s="314" t="s">
        <v>179</v>
      </c>
      <c r="AK2" s="314" t="s">
        <v>180</v>
      </c>
      <c r="AW2" s="314" t="s">
        <v>181</v>
      </c>
      <c r="BI2" s="314" t="s">
        <v>182</v>
      </c>
      <c r="BU2" s="314" t="s">
        <v>183</v>
      </c>
      <c r="CG2" s="314" t="s">
        <v>184</v>
      </c>
      <c r="CS2" s="352" t="s">
        <v>196</v>
      </c>
      <c r="CV2" s="353"/>
      <c r="CW2" s="354"/>
      <c r="CX2" s="354"/>
      <c r="CY2" s="353"/>
      <c r="CZ2" s="353"/>
      <c r="DA2" s="353"/>
      <c r="DB2" s="353" t="s">
        <v>200</v>
      </c>
    </row>
    <row r="3" spans="1:106" x14ac:dyDescent="0.2">
      <c r="A3" s="315">
        <f>'Deflated #''s'!B15</f>
        <v>8440585.3658704739</v>
      </c>
      <c r="B3" s="315">
        <f>'Deflated #''s'!B16</f>
        <v>9427055.697915582</v>
      </c>
      <c r="C3" s="315">
        <f>'Deflated #''s'!B17</f>
        <v>8622243.7739725634</v>
      </c>
      <c r="D3" s="315">
        <f>'Deflated #''s'!B18</f>
        <v>8917014.0403376631</v>
      </c>
      <c r="E3" s="315">
        <f>'Deflated #''s'!B19</f>
        <v>8889476.9800796248</v>
      </c>
      <c r="F3" s="315">
        <f>'Deflated #''s'!B20</f>
        <v>8452042.291038407</v>
      </c>
      <c r="G3" s="315">
        <f>'Deflated #''s'!B21</f>
        <v>7995468.4089634726</v>
      </c>
      <c r="H3" s="315">
        <f>'Deflated #''s'!B22</f>
        <v>9984792.9247525055</v>
      </c>
      <c r="I3" s="315">
        <f>'Deflated #''s'!B23</f>
        <v>7644618.2669357387</v>
      </c>
      <c r="J3" s="315">
        <f>'Deflated #''s'!B24</f>
        <v>6817086.669876771</v>
      </c>
      <c r="K3" s="315">
        <f>'Deflated #''s'!B25</f>
        <v>7899810.8947295295</v>
      </c>
      <c r="L3" s="315">
        <f>'Deflated #''s'!B26</f>
        <v>8240643.7214483656</v>
      </c>
      <c r="M3" s="315">
        <f>'Deflated #''s'!C15</f>
        <v>8464638.7139842324</v>
      </c>
      <c r="N3" s="315">
        <f>'Deflated #''s'!C16</f>
        <v>9144600.6302418001</v>
      </c>
      <c r="O3" s="315">
        <f>'Deflated #''s'!C17</f>
        <v>8677147.9350494333</v>
      </c>
      <c r="P3" s="315">
        <f>'Deflated #''s'!C18</f>
        <v>8721236.7692589238</v>
      </c>
      <c r="Q3" s="315">
        <f>'Deflated #''s'!C19</f>
        <v>8541649.3943433855</v>
      </c>
      <c r="R3" s="315">
        <f>'Deflated #''s'!C20</f>
        <v>8786638.4094889089</v>
      </c>
      <c r="S3" s="315">
        <f>'Deflated #''s'!B21</f>
        <v>7995468.4089634726</v>
      </c>
      <c r="T3" s="315">
        <f>'Deflated #''s'!B22</f>
        <v>9984792.9247525055</v>
      </c>
      <c r="U3" s="315">
        <f>'Deflated #''s'!B23</f>
        <v>7644618.2669357387</v>
      </c>
      <c r="V3" s="315">
        <f>'Deflated #''s'!B24</f>
        <v>6817086.669876771</v>
      </c>
      <c r="W3" s="315">
        <f>'Deflated #''s'!B25</f>
        <v>7899810.8947295295</v>
      </c>
      <c r="X3" s="315">
        <f>'Deflated #''s'!B26</f>
        <v>8240643.7214483656</v>
      </c>
      <c r="Y3" s="315">
        <f>'Deflated #''s'!D15</f>
        <v>7525828.9116474157</v>
      </c>
      <c r="Z3" s="315">
        <f>'Deflated #''s'!D16</f>
        <v>8158778.6764080077</v>
      </c>
      <c r="AA3" s="315">
        <f>'Deflated #''s'!D17</f>
        <v>7988939.3287920756</v>
      </c>
      <c r="AB3" s="315">
        <f>'Deflated #''s'!D18</f>
        <v>7892605.4828357352</v>
      </c>
      <c r="AC3" s="315">
        <f>'Deflated #''s'!D19</f>
        <v>7620386.2110145362</v>
      </c>
      <c r="AD3" s="315">
        <f>'Deflated #''s'!D20</f>
        <v>7374845.5539166136</v>
      </c>
      <c r="AE3" s="315">
        <f>'Deflated #''s'!D21</f>
        <v>6770135.9370479807</v>
      </c>
      <c r="AF3" s="315">
        <f>'Deflated #''s'!D22</f>
        <v>8373853.7364107464</v>
      </c>
      <c r="AG3" s="315">
        <f>'Deflated #''s'!D23</f>
        <v>6389197.623589607</v>
      </c>
      <c r="AH3" s="315">
        <f>'Deflated #''s'!D24</f>
        <v>6290427.9288414624</v>
      </c>
      <c r="AI3" s="315">
        <f>'Deflated #''s'!D25</f>
        <v>7280481.5044029932</v>
      </c>
      <c r="AJ3" s="315">
        <f>'Deflated #''s'!D26</f>
        <v>6873479.3112414097</v>
      </c>
      <c r="AK3" s="315">
        <f>'Deflated #''s'!E15</f>
        <v>6803740.0325984117</v>
      </c>
      <c r="AL3" s="315">
        <f>'Deflated #''s'!E16</f>
        <v>8369365.5511718085</v>
      </c>
      <c r="AM3" s="315">
        <f>'Deflated #''s'!E17</f>
        <v>7469652.5994028402</v>
      </c>
      <c r="AN3" s="315">
        <f>'Deflated #''s'!E18</f>
        <v>7942801.8610319467</v>
      </c>
      <c r="AO3" s="315">
        <f>'Deflated #''s'!E19</f>
        <v>7385773.5481125731</v>
      </c>
      <c r="AP3" s="315">
        <f>'Deflated #''s'!E20</f>
        <v>7063013.43416382</v>
      </c>
      <c r="AQ3" s="315">
        <f>'Deflated #''s'!E21</f>
        <v>6836614.3019512957</v>
      </c>
      <c r="AR3" s="315">
        <f>'Deflated #''s'!E22</f>
        <v>8471196.6929605342</v>
      </c>
      <c r="AS3" s="315">
        <f>'Deflated #''s'!E23</f>
        <v>6206894.2201242773</v>
      </c>
      <c r="AT3" s="315">
        <f>'Deflated #''s'!E24</f>
        <v>6283487.3402547259</v>
      </c>
      <c r="AU3" s="315">
        <f>'Deflated #''s'!E25</f>
        <v>7421187.068372881</v>
      </c>
      <c r="AV3" s="315">
        <f>'Deflated #''s'!E26</f>
        <v>7275775.7337021129</v>
      </c>
      <c r="AW3" s="316">
        <f>'Deflated #''s'!F15</f>
        <v>7347248.363488256</v>
      </c>
      <c r="AX3" s="316">
        <f>'Deflated #''s'!F16</f>
        <v>8185152.1896121688</v>
      </c>
      <c r="AY3" s="316">
        <f>'Deflated #''s'!F17</f>
        <v>7661579.8802665621</v>
      </c>
      <c r="AZ3" s="316">
        <f>'Deflated #''s'!F18</f>
        <v>7976639.6319003254</v>
      </c>
      <c r="BA3" s="316">
        <f>'Deflated #''s'!F19</f>
        <v>7669863.5397126442</v>
      </c>
      <c r="BB3" s="316">
        <f>'Deflated #''s'!F20</f>
        <v>7035124.5081914803</v>
      </c>
      <c r="BC3" s="316">
        <f>'Deflated #''s'!F21</f>
        <v>7117974.431783841</v>
      </c>
      <c r="BD3" s="316">
        <f>'Deflated #''s'!F22</f>
        <v>8815747.6263166275</v>
      </c>
      <c r="BE3" s="316">
        <f>'Deflated #''s'!F23</f>
        <v>6678328.389449127</v>
      </c>
      <c r="BF3" s="316">
        <f>'Deflated #''s'!F24</f>
        <v>6759746.1374379089</v>
      </c>
      <c r="BG3" s="316">
        <f>'Deflated #''s'!F25</f>
        <v>7630403.5229729442</v>
      </c>
      <c r="BH3" s="316">
        <f>'Deflated #''s'!F26</f>
        <v>6685626.0675747162</v>
      </c>
      <c r="BI3" s="315">
        <f>'Deflated #''s'!G15</f>
        <v>7194534.9107531244</v>
      </c>
      <c r="BJ3" s="315">
        <f>'Deflated #''s'!G16</f>
        <v>7949235.5472568683</v>
      </c>
      <c r="BK3" s="315">
        <f>'Deflated #''s'!G17</f>
        <v>7627165.5684887767</v>
      </c>
      <c r="BL3" s="315">
        <f>'Deflated #''s'!G18</f>
        <v>7932623.9968141643</v>
      </c>
      <c r="BM3" s="315">
        <f>'Deflated #''s'!G19</f>
        <v>7412623.6062571555</v>
      </c>
      <c r="BN3" s="315">
        <f>'Deflated #''s'!G20</f>
        <v>7483575.1016559796</v>
      </c>
      <c r="BO3" s="315">
        <f>'Deflated #''s'!G21</f>
        <v>7018724.6289842576</v>
      </c>
      <c r="BP3" s="315">
        <f>'Deflated #''s'!G22</f>
        <v>8133004.2393258959</v>
      </c>
      <c r="BQ3" s="315">
        <f>'Deflated #''s'!G23</f>
        <v>7077224.7063188553</v>
      </c>
      <c r="BR3" s="315">
        <f>'Deflated #''s'!G24</f>
        <v>6131244.0024902262</v>
      </c>
      <c r="BS3" s="315">
        <f>'Deflated #''s'!G25</f>
        <v>7747033.7991908314</v>
      </c>
      <c r="BT3" s="315">
        <f>'Deflated #''s'!G26</f>
        <v>6925633.4282290833</v>
      </c>
      <c r="BU3" s="42">
        <f>'Deflated #''s'!H15</f>
        <v>7581728.7830688292</v>
      </c>
      <c r="BV3" s="42">
        <f>'Deflated #''s'!H16</f>
        <v>7900637.1610294785</v>
      </c>
      <c r="BW3" s="42">
        <f>'Deflated #''s'!H17</f>
        <v>7967811.7803145489</v>
      </c>
      <c r="BX3" s="42">
        <f>'Deflated #''s'!H18</f>
        <v>8809828.7203074563</v>
      </c>
      <c r="BY3" s="42">
        <f>'Deflated #''s'!H19</f>
        <v>7794399.8354219981</v>
      </c>
      <c r="BZ3" s="42">
        <f>'Deflated #''s'!H20</f>
        <v>7796989.8191926787</v>
      </c>
      <c r="CA3" s="42">
        <f>'Deflated #''s'!H21</f>
        <v>6744660.4505108688</v>
      </c>
      <c r="CB3" s="42">
        <f>'Deflated #''s'!H22</f>
        <v>8306287.0444349982</v>
      </c>
      <c r="CC3" s="42">
        <f>'Deflated #''s'!H23</f>
        <v>6378453.2091490189</v>
      </c>
      <c r="CD3" s="42">
        <f>'Deflated #''s'!H24</f>
        <v>7029151.6622212781</v>
      </c>
      <c r="CE3" s="42">
        <f>'Deflated #''s'!H25</f>
        <v>7518513.8564771386</v>
      </c>
      <c r="CF3" s="42">
        <f>'Deflated #''s'!H26</f>
        <v>7219328.4182006083</v>
      </c>
      <c r="CG3" s="42">
        <f>'Deflated #''s'!I15</f>
        <v>6914554.1375399996</v>
      </c>
      <c r="CH3" s="42">
        <f>'Deflated #''s'!I16</f>
        <v>7667646.0343199996</v>
      </c>
      <c r="CI3" s="42">
        <f>'Deflated #''s'!I17</f>
        <v>8625118.0139999986</v>
      </c>
      <c r="CJ3" s="42">
        <f>'Deflated #''s'!I18</f>
        <v>7951741.9739999995</v>
      </c>
      <c r="CK3" s="42">
        <f>'Deflated #''s'!I19</f>
        <v>8079853.4639999997</v>
      </c>
      <c r="CL3" s="42">
        <f>'Deflated #''s'!I20</f>
        <v>7712309.0537999989</v>
      </c>
      <c r="CM3" s="42">
        <f>'Deflated #''s'!I21</f>
        <v>7024595.7037499994</v>
      </c>
      <c r="CN3" s="42">
        <f>'Deflated #''s'!I22</f>
        <v>8875164.0919499993</v>
      </c>
      <c r="CO3" s="42">
        <f>'Deflated #''s'!I23</f>
        <v>6391754.3954699999</v>
      </c>
      <c r="CP3" s="42">
        <f>+'Deflated #''s'!I24</f>
        <v>6271375.4615700003</v>
      </c>
      <c r="CQ3" s="42">
        <f>+'Deflated #''s'!I25</f>
        <v>7614362.8923299992</v>
      </c>
      <c r="CR3" s="42">
        <f>+'Deflated #''s'!I26</f>
        <v>7996902.8759999992</v>
      </c>
      <c r="CS3" s="7">
        <f>+'Deflated #''s'!J15</f>
        <v>7774938.9000000004</v>
      </c>
      <c r="CT3" s="7">
        <f>+'Deflated #''s'!J16</f>
        <v>8444283.2100000009</v>
      </c>
      <c r="CU3" s="7">
        <f>+'Deflated #''s'!J17</f>
        <v>8559891.2699999996</v>
      </c>
      <c r="CV3" s="7">
        <f>+'Deflated #''s'!J18</f>
        <v>7993372.5999999996</v>
      </c>
      <c r="CW3" s="7">
        <f>+'Deflated #''s'!J19</f>
        <v>8073909</v>
      </c>
      <c r="CX3" s="7">
        <f>+'Deflated #''s'!J20</f>
        <v>7878332.79</v>
      </c>
      <c r="CY3" s="7">
        <f>+'Deflated #''s'!J21</f>
        <v>6903342.9100000001</v>
      </c>
      <c r="CZ3" s="7">
        <f>+'Deflated #''s'!J22</f>
        <v>8335574.4900000012</v>
      </c>
      <c r="DA3" s="7">
        <f>+'Deflated #''s'!J23</f>
        <v>6909944.4500000002</v>
      </c>
      <c r="DB3" s="7">
        <f>+'Deflated #''s'!J24</f>
        <v>6954678.5199999996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15-16</vt:lpstr>
      <vt:lpstr>Detail Month</vt:lpstr>
      <vt:lpstr>3yr comp</vt:lpstr>
      <vt:lpstr>Graph Bud vs Act</vt:lpstr>
      <vt:lpstr>Graph Comparison</vt:lpstr>
      <vt:lpstr>Deflated #'s</vt:lpstr>
      <vt:lpstr>Detail</vt:lpstr>
      <vt:lpstr>sheet 1</vt:lpstr>
      <vt:lpstr>'Detail Month'!Print_Area</vt:lpstr>
      <vt:lpstr>'Detail Month'!Print_Titles</vt:lpstr>
    </vt:vector>
  </TitlesOfParts>
  <Company>City of Santa 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HAUSMAN, HELENE R.</cp:lastModifiedBy>
  <cp:lastPrinted>2016-04-14T15:09:15Z</cp:lastPrinted>
  <dcterms:created xsi:type="dcterms:W3CDTF">2000-07-21T15:55:01Z</dcterms:created>
  <dcterms:modified xsi:type="dcterms:W3CDTF">2016-04-14T16:19:00Z</dcterms:modified>
</cp:coreProperties>
</file>